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8955" activeTab="0"/>
  </bookViews>
  <sheets>
    <sheet name="SR22" sheetId="1" r:id="rId1"/>
    <sheet name="SR20" sheetId="2" r:id="rId2"/>
  </sheets>
  <definedNames>
    <definedName name="_xlnm.Print_Area" localSheetId="1">'SR20'!$A$1:$L$136</definedName>
    <definedName name="_xlnm.Print_Area" localSheetId="0">'SR22'!$A$1:$L$136</definedName>
  </definedNames>
  <calcPr fullCalcOnLoad="1"/>
</workbook>
</file>

<file path=xl/sharedStrings.xml><?xml version="1.0" encoding="utf-8"?>
<sst xmlns="http://schemas.openxmlformats.org/spreadsheetml/2006/main" count="285" uniqueCount="108">
  <si>
    <t>A. Acquisistion Cost &amp; Financing</t>
  </si>
  <si>
    <t>Base list price</t>
  </si>
  <si>
    <t>Options</t>
  </si>
  <si>
    <t>Yes/No?</t>
  </si>
  <si>
    <t>Cost of Ownership Model - Cirrus SR20</t>
  </si>
  <si>
    <t>Avidyne EX5000C</t>
  </si>
  <si>
    <t>Skywatch traffic information</t>
  </si>
  <si>
    <t>WX-500 based Stormscope</t>
  </si>
  <si>
    <t>E-Max engine &amp; fuel monitor</t>
  </si>
  <si>
    <t>GNS 430/430, 55X*</t>
  </si>
  <si>
    <t>GNS 430/420, 55SR*</t>
  </si>
  <si>
    <t>3-blade propeller</t>
  </si>
  <si>
    <t>Leather interior</t>
  </si>
  <si>
    <t>Extended 3rd year warranty</t>
  </si>
  <si>
    <t>1) Acquisition Cost Calculation</t>
  </si>
  <si>
    <t>Price</t>
  </si>
  <si>
    <t>Total price</t>
  </si>
  <si>
    <t>Discount?</t>
  </si>
  <si>
    <t>Incentive financing?</t>
  </si>
  <si>
    <t>--&gt; select either discount or incentive financing</t>
  </si>
  <si>
    <t>* Select either 55SR or 55X, not both</t>
  </si>
  <si>
    <t>y</t>
  </si>
  <si>
    <t>n</t>
  </si>
  <si>
    <t>Total acquisition price</t>
  </si>
  <si>
    <t>Total pricing</t>
  </si>
  <si>
    <t>2) Financing payment calculation</t>
  </si>
  <si>
    <t>Financing term</t>
  </si>
  <si>
    <t>years</t>
  </si>
  <si>
    <t>Down payment</t>
  </si>
  <si>
    <t>%</t>
  </si>
  <si>
    <t>Possible financing rates - 20 year</t>
  </si>
  <si>
    <t>- 10% down</t>
  </si>
  <si>
    <t>- 20% or more down</t>
  </si>
  <si>
    <t>Financing rate</t>
  </si>
  <si>
    <t>Introductory bought-down rate</t>
  </si>
  <si>
    <t>Monthly payment</t>
  </si>
  <si>
    <t>Initial 2 years</t>
  </si>
  <si>
    <t>Rest of loan term</t>
  </si>
  <si>
    <t>Down payment amount</t>
  </si>
  <si>
    <t>$</t>
  </si>
  <si>
    <t>Financed amount</t>
  </si>
  <si>
    <t>B. Direct Hourly Operating Costs</t>
  </si>
  <si>
    <t>Hourly Cost Assumptions</t>
  </si>
  <si>
    <t>Total Cost</t>
  </si>
  <si>
    <t>Hourly Basis</t>
  </si>
  <si>
    <t>Hourly Cost</t>
  </si>
  <si>
    <t>Total Cash Cost</t>
  </si>
  <si>
    <t>-</t>
  </si>
  <si>
    <t>100 hour inspection</t>
  </si>
  <si>
    <t>50 hour inspections/oil change</t>
  </si>
  <si>
    <t>Fuel</t>
  </si>
  <si>
    <t>Oil</t>
  </si>
  <si>
    <t>Maintenance reserve (wear &amp; tear)</t>
  </si>
  <si>
    <t>Fixed Cost Assumptions</t>
  </si>
  <si>
    <t>Annually</t>
  </si>
  <si>
    <t>Monthly</t>
  </si>
  <si>
    <t>Insurance</t>
  </si>
  <si>
    <t>Tie down</t>
  </si>
  <si>
    <t>Avionics subscription</t>
  </si>
  <si>
    <t xml:space="preserve">- </t>
  </si>
  <si>
    <t>Property tax</t>
  </si>
  <si>
    <t>C. Fixed Costs outside of financing</t>
  </si>
  <si>
    <t>Total Cash Cost per hour</t>
  </si>
  <si>
    <t>D. Tax benefit calculation</t>
  </si>
  <si>
    <t>30% business use?</t>
  </si>
  <si>
    <t>y/n</t>
  </si>
  <si>
    <t>Available tax benefit</t>
  </si>
  <si>
    <t>50% bonus depreciation</t>
  </si>
  <si>
    <t>Section 179 depreciation</t>
  </si>
  <si>
    <t>MARCS depreciation</t>
  </si>
  <si>
    <t>Number of quarters</t>
  </si>
  <si>
    <t>Personal income tax rate</t>
  </si>
  <si>
    <t>Enter %</t>
  </si>
  <si>
    <t>Positive = cash cost, negative = cash benefit</t>
  </si>
  <si>
    <t xml:space="preserve">E. Total Cash Cost of Ownership </t>
  </si>
  <si>
    <t>Year One</t>
  </si>
  <si>
    <t>Hourly operating cost</t>
  </si>
  <si>
    <t>Hours/month</t>
  </si>
  <si>
    <t>Yearly hours</t>
  </si>
  <si>
    <t>monthly</t>
  </si>
  <si>
    <t>annually</t>
  </si>
  <si>
    <t>Hourly total cost (including reserve build-up)</t>
  </si>
  <si>
    <t>Annual fixed cost &amp; tax benefit</t>
  </si>
  <si>
    <t>… Including down payment</t>
  </si>
  <si>
    <t>written off over</t>
  </si>
  <si>
    <t>Year Two</t>
  </si>
  <si>
    <t>Maximum tax write-off for initial year</t>
  </si>
  <si>
    <t>Ongoing write-off for years 2-5</t>
  </si>
  <si>
    <t>Aircraft base after initial write-off</t>
  </si>
  <si>
    <t>Tax benefit from aircraft depreciation - year 1</t>
  </si>
  <si>
    <t>Tax benefit from aircraft depreciation - year 2-5</t>
  </si>
  <si>
    <t>All-in hourly cash cost</t>
  </si>
  <si>
    <t>Cost of Ownership Model - Cirrus SR22</t>
  </si>
  <si>
    <t>GNS 430/430, 55X</t>
  </si>
  <si>
    <t>Ice protection</t>
  </si>
  <si>
    <t>Premium engine package*</t>
  </si>
  <si>
    <t>year(s)</t>
  </si>
  <si>
    <t>100 hour &amp; annual inspection</t>
  </si>
  <si>
    <t>* must purchase with remaining SR22 through January</t>
  </si>
  <si>
    <t>Discount?**</t>
  </si>
  <si>
    <t>Incentive financing?**</t>
  </si>
  <si>
    <t>** promotion ends 12/03</t>
  </si>
  <si>
    <t>Year Three and onward</t>
  </si>
  <si>
    <t>Reduction with IFR, m/m time</t>
  </si>
  <si>
    <t>Extra after warranty expires</t>
  </si>
  <si>
    <t>Engine overhaul reserves</t>
  </si>
  <si>
    <t>Parachute reserve</t>
  </si>
  <si>
    <t>Propeller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</si>
</sst>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9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/>
    </xf>
    <xf numFmtId="3" fontId="0" fillId="0" borderId="0" xfId="0" applyNumberFormat="1" applyBorder="1" applyAlignment="1">
      <alignment/>
    </xf>
    <xf numFmtId="166" fontId="0" fillId="0" borderId="0" xfId="17" applyNumberFormat="1" applyBorder="1" applyAlignment="1">
      <alignment/>
    </xf>
    <xf numFmtId="166" fontId="1" fillId="0" borderId="0" xfId="17" applyNumberFormat="1" applyFont="1" applyBorder="1" applyAlignment="1">
      <alignment/>
    </xf>
    <xf numFmtId="0" fontId="0" fillId="0" borderId="5" xfId="0" applyBorder="1" applyAlignment="1" quotePrefix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Border="1" applyAlignment="1">
      <alignment/>
    </xf>
    <xf numFmtId="168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66" fontId="0" fillId="0" borderId="6" xfId="17" applyNumberFormat="1" applyBorder="1" applyAlignment="1">
      <alignment/>
    </xf>
    <xf numFmtId="166" fontId="0" fillId="0" borderId="8" xfId="17" applyNumberFormat="1" applyBorder="1" applyAlignment="1">
      <alignment/>
    </xf>
    <xf numFmtId="166" fontId="0" fillId="0" borderId="9" xfId="17" applyNumberFormat="1" applyBorder="1" applyAlignment="1">
      <alignment/>
    </xf>
    <xf numFmtId="9" fontId="0" fillId="0" borderId="0" xfId="19" applyBorder="1" applyAlignment="1">
      <alignment/>
    </xf>
    <xf numFmtId="0" fontId="0" fillId="0" borderId="5" xfId="0" applyFont="1" applyBorder="1" applyAlignment="1">
      <alignment/>
    </xf>
    <xf numFmtId="166" fontId="0" fillId="0" borderId="0" xfId="17" applyNumberFormat="1" applyFont="1" applyBorder="1" applyAlignment="1">
      <alignment/>
    </xf>
    <xf numFmtId="0" fontId="1" fillId="0" borderId="7" xfId="0" applyFont="1" applyBorder="1" applyAlignment="1">
      <alignment/>
    </xf>
    <xf numFmtId="166" fontId="1" fillId="0" borderId="8" xfId="17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0" fontId="3" fillId="0" borderId="0" xfId="0" applyFont="1" applyBorder="1" applyAlignment="1" quotePrefix="1">
      <alignment/>
    </xf>
    <xf numFmtId="0" fontId="0" fillId="0" borderId="0" xfId="0" applyBorder="1" applyAlignment="1" quotePrefix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44" fontId="0" fillId="2" borderId="14" xfId="17" applyNumberFormat="1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9" fontId="0" fillId="2" borderId="14" xfId="0" applyNumberFormat="1" applyFill="1" applyBorder="1" applyAlignment="1" applyProtection="1">
      <alignment/>
      <protection locked="0"/>
    </xf>
    <xf numFmtId="166" fontId="0" fillId="2" borderId="14" xfId="17" applyNumberFormat="1" applyFill="1" applyBorder="1" applyAlignment="1" applyProtection="1">
      <alignment/>
      <protection locked="0"/>
    </xf>
    <xf numFmtId="166" fontId="0" fillId="2" borderId="17" xfId="17" applyNumberFormat="1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164" fontId="0" fillId="2" borderId="14" xfId="0" applyNumberFormat="1" applyFill="1" applyBorder="1" applyAlignment="1" applyProtection="1">
      <alignment/>
      <protection locked="0"/>
    </xf>
    <xf numFmtId="4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"/>
  <sheetViews>
    <sheetView tabSelected="1" workbookViewId="0" topLeftCell="A1">
      <selection activeCell="G56" sqref="G56"/>
    </sheetView>
  </sheetViews>
  <sheetFormatPr defaultColWidth="9.140625" defaultRowHeight="12.75"/>
  <cols>
    <col min="1" max="3" width="3.00390625" style="0" customWidth="1"/>
    <col min="4" max="4" width="29.8515625" style="0" customWidth="1"/>
    <col min="5" max="5" width="11.421875" style="0" customWidth="1"/>
    <col min="6" max="6" width="13.7109375" style="0" bestFit="1" customWidth="1"/>
    <col min="7" max="7" width="14.140625" style="0" customWidth="1"/>
    <col min="8" max="8" width="13.421875" style="0" customWidth="1"/>
    <col min="9" max="10" width="10.00390625" style="0" customWidth="1"/>
    <col min="11" max="11" width="10.140625" style="0" customWidth="1"/>
    <col min="12" max="12" width="5.28125" style="0" customWidth="1"/>
  </cols>
  <sheetData>
    <row r="1" spans="1:12" ht="16.5" thickBot="1">
      <c r="A1" s="38" t="s">
        <v>92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ht="13.5" thickBot="1"/>
    <row r="3" spans="1:12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7.5" customHeight="1">
      <c r="A4" s="8"/>
      <c r="B4" s="3"/>
      <c r="C4" s="3"/>
      <c r="D4" s="3"/>
      <c r="E4" s="3"/>
      <c r="F4" s="3"/>
      <c r="G4" s="3"/>
      <c r="H4" s="3"/>
      <c r="I4" s="3"/>
      <c r="J4" s="3"/>
      <c r="K4" s="3"/>
      <c r="L4" s="9"/>
    </row>
    <row r="5" spans="1:12" ht="12.75">
      <c r="A5" s="33" t="s">
        <v>14</v>
      </c>
      <c r="B5" s="3"/>
      <c r="C5" s="3"/>
      <c r="D5" s="3"/>
      <c r="E5" s="3"/>
      <c r="F5" s="2" t="s">
        <v>15</v>
      </c>
      <c r="G5" s="2"/>
      <c r="H5" s="2" t="s">
        <v>3</v>
      </c>
      <c r="I5" s="3"/>
      <c r="J5" s="3"/>
      <c r="K5" s="3" t="s">
        <v>24</v>
      </c>
      <c r="L5" s="9"/>
    </row>
    <row r="6" spans="1:12" ht="12.75">
      <c r="A6" s="8"/>
      <c r="B6" s="3"/>
      <c r="C6" s="3"/>
      <c r="D6" s="3"/>
      <c r="E6" s="3"/>
      <c r="F6" s="3"/>
      <c r="G6" s="3"/>
      <c r="H6" s="3"/>
      <c r="I6" s="3"/>
      <c r="J6" s="3"/>
      <c r="K6" s="3"/>
      <c r="L6" s="9"/>
    </row>
    <row r="7" spans="1:12" ht="12.75">
      <c r="A7" s="8" t="s">
        <v>1</v>
      </c>
      <c r="B7" s="3"/>
      <c r="C7" s="3"/>
      <c r="D7" s="3"/>
      <c r="E7" s="3"/>
      <c r="F7" s="12">
        <v>313900</v>
      </c>
      <c r="G7" s="3"/>
      <c r="H7" s="3" t="s">
        <v>21</v>
      </c>
      <c r="I7" s="3"/>
      <c r="J7" s="3"/>
      <c r="K7" s="12">
        <f>F7</f>
        <v>313900</v>
      </c>
      <c r="L7" s="9"/>
    </row>
    <row r="8" spans="1:12" ht="13.5" thickBot="1">
      <c r="A8" s="8" t="s">
        <v>2</v>
      </c>
      <c r="B8" s="3"/>
      <c r="C8" s="3"/>
      <c r="D8" s="3"/>
      <c r="E8" s="3"/>
      <c r="F8" s="12"/>
      <c r="G8" s="3"/>
      <c r="H8" s="3"/>
      <c r="I8" s="3"/>
      <c r="J8" s="3"/>
      <c r="K8" s="12"/>
      <c r="L8" s="9"/>
    </row>
    <row r="9" spans="1:12" ht="12.75">
      <c r="A9" s="8"/>
      <c r="B9" s="3" t="s">
        <v>93</v>
      </c>
      <c r="C9" s="3"/>
      <c r="D9" s="3"/>
      <c r="E9" s="3"/>
      <c r="F9" s="12">
        <v>13600</v>
      </c>
      <c r="G9" s="3"/>
      <c r="H9" s="44" t="s">
        <v>21</v>
      </c>
      <c r="I9" s="3"/>
      <c r="J9" s="3"/>
      <c r="K9" s="12">
        <f>IF(H9="y",F9,0)</f>
        <v>13600</v>
      </c>
      <c r="L9" s="9"/>
    </row>
    <row r="10" spans="1:12" ht="12.75">
      <c r="A10" s="8"/>
      <c r="B10" s="3" t="s">
        <v>6</v>
      </c>
      <c r="C10" s="3"/>
      <c r="D10" s="3"/>
      <c r="E10" s="3"/>
      <c r="F10" s="12">
        <v>21500</v>
      </c>
      <c r="G10" s="3"/>
      <c r="H10" s="45" t="s">
        <v>21</v>
      </c>
      <c r="I10" s="3"/>
      <c r="J10" s="3"/>
      <c r="K10" s="12">
        <f aca="true" t="shared" si="0" ref="K10:K15">IF(H10="y",F10,0)</f>
        <v>21500</v>
      </c>
      <c r="L10" s="9"/>
    </row>
    <row r="11" spans="1:12" ht="12.75">
      <c r="A11" s="8"/>
      <c r="B11" s="3" t="s">
        <v>7</v>
      </c>
      <c r="C11" s="3"/>
      <c r="D11" s="3"/>
      <c r="E11" s="3"/>
      <c r="F11" s="12">
        <v>9500</v>
      </c>
      <c r="G11" s="3"/>
      <c r="H11" s="45" t="s">
        <v>22</v>
      </c>
      <c r="I11" s="3"/>
      <c r="J11" s="3"/>
      <c r="K11" s="12">
        <f t="shared" si="0"/>
        <v>0</v>
      </c>
      <c r="L11" s="9"/>
    </row>
    <row r="12" spans="1:12" ht="13.5" thickBot="1">
      <c r="A12" s="8"/>
      <c r="B12" s="3" t="s">
        <v>8</v>
      </c>
      <c r="C12" s="3"/>
      <c r="D12" s="3"/>
      <c r="E12" s="3"/>
      <c r="F12" s="12">
        <v>5750</v>
      </c>
      <c r="G12" s="3"/>
      <c r="H12" s="46" t="s">
        <v>21</v>
      </c>
      <c r="I12" s="3"/>
      <c r="J12" s="3"/>
      <c r="K12" s="12">
        <f t="shared" si="0"/>
        <v>5750</v>
      </c>
      <c r="L12" s="9"/>
    </row>
    <row r="13" spans="1:12" ht="13.5" thickBot="1">
      <c r="A13" s="8"/>
      <c r="B13" s="41" t="s">
        <v>95</v>
      </c>
      <c r="C13" s="3"/>
      <c r="D13" s="3"/>
      <c r="E13" s="3"/>
      <c r="F13" s="12">
        <v>7500</v>
      </c>
      <c r="G13" s="3"/>
      <c r="H13" s="52" t="s">
        <v>21</v>
      </c>
      <c r="I13" s="3"/>
      <c r="J13" s="3"/>
      <c r="K13" s="12">
        <f t="shared" si="0"/>
        <v>7500</v>
      </c>
      <c r="L13" s="9"/>
    </row>
    <row r="14" spans="1:12" ht="12.75">
      <c r="A14" s="8"/>
      <c r="B14" s="41" t="s">
        <v>94</v>
      </c>
      <c r="C14" s="3"/>
      <c r="D14" s="3"/>
      <c r="E14" s="3"/>
      <c r="F14" s="12">
        <v>19700</v>
      </c>
      <c r="G14" s="3"/>
      <c r="H14" s="44" t="s">
        <v>21</v>
      </c>
      <c r="I14" s="3"/>
      <c r="J14" s="3"/>
      <c r="K14" s="12">
        <f t="shared" si="0"/>
        <v>19700</v>
      </c>
      <c r="L14" s="9"/>
    </row>
    <row r="15" spans="1:12" ht="13.5" thickBot="1">
      <c r="A15" s="8"/>
      <c r="B15" s="41" t="s">
        <v>13</v>
      </c>
      <c r="C15" s="3"/>
      <c r="D15" s="3"/>
      <c r="E15" s="3"/>
      <c r="F15" s="12">
        <v>4995</v>
      </c>
      <c r="G15" s="3"/>
      <c r="H15" s="46" t="s">
        <v>21</v>
      </c>
      <c r="I15" s="3"/>
      <c r="J15" s="3"/>
      <c r="K15" s="12">
        <f t="shared" si="0"/>
        <v>4995</v>
      </c>
      <c r="L15" s="9"/>
    </row>
    <row r="16" spans="1:12" ht="12.75">
      <c r="A16" s="8"/>
      <c r="B16" s="34" t="s">
        <v>98</v>
      </c>
      <c r="C16" s="3"/>
      <c r="D16" s="3"/>
      <c r="E16" s="3"/>
      <c r="F16" s="11"/>
      <c r="G16" s="3"/>
      <c r="H16" s="3"/>
      <c r="I16" s="3"/>
      <c r="J16" s="3"/>
      <c r="K16" s="3"/>
      <c r="L16" s="9"/>
    </row>
    <row r="17" spans="1:12" ht="12.75">
      <c r="A17" s="8"/>
      <c r="B17" s="34"/>
      <c r="C17" s="3"/>
      <c r="D17" s="3"/>
      <c r="E17" s="3"/>
      <c r="F17" s="11"/>
      <c r="G17" s="3"/>
      <c r="H17" s="3"/>
      <c r="I17" s="3"/>
      <c r="J17" s="3"/>
      <c r="K17" s="3"/>
      <c r="L17" s="9"/>
    </row>
    <row r="18" spans="1:12" ht="12.75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9"/>
    </row>
    <row r="19" spans="1:12" ht="12.75">
      <c r="A19" s="8" t="s">
        <v>16</v>
      </c>
      <c r="B19" s="3"/>
      <c r="C19" s="3"/>
      <c r="D19" s="3"/>
      <c r="E19" s="3"/>
      <c r="F19" s="42">
        <f>K19</f>
        <v>386945</v>
      </c>
      <c r="G19" s="3"/>
      <c r="H19" s="3"/>
      <c r="I19" s="3"/>
      <c r="J19" s="3"/>
      <c r="K19" s="42">
        <f>SUM(K7:K15)</f>
        <v>386945</v>
      </c>
      <c r="L19" s="9"/>
    </row>
    <row r="20" spans="1:12" ht="13.5" thickBot="1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9"/>
    </row>
    <row r="21" spans="1:12" ht="12.75">
      <c r="A21" s="8" t="s">
        <v>99</v>
      </c>
      <c r="B21" s="3"/>
      <c r="C21" s="3"/>
      <c r="D21" s="3"/>
      <c r="E21" s="3"/>
      <c r="F21" s="12">
        <f>IF(K19&gt;=391450,20000,10000)</f>
        <v>10000</v>
      </c>
      <c r="G21" s="3"/>
      <c r="H21" s="44" t="s">
        <v>22</v>
      </c>
      <c r="I21" s="3"/>
      <c r="J21" s="3"/>
      <c r="K21" s="3">
        <f>IF(H21="y",F21,0)</f>
        <v>0</v>
      </c>
      <c r="L21" s="9"/>
    </row>
    <row r="22" spans="1:12" ht="13.5" thickBot="1">
      <c r="A22" s="8" t="s">
        <v>100</v>
      </c>
      <c r="B22" s="3"/>
      <c r="C22" s="3"/>
      <c r="D22" s="3"/>
      <c r="E22" s="3"/>
      <c r="F22" s="35">
        <v>0.029</v>
      </c>
      <c r="G22" s="3"/>
      <c r="H22" s="46" t="s">
        <v>21</v>
      </c>
      <c r="I22" s="3"/>
      <c r="J22" s="3"/>
      <c r="K22" s="3"/>
      <c r="L22" s="9"/>
    </row>
    <row r="23" spans="1:12" ht="12.75">
      <c r="A23" s="8"/>
      <c r="B23" s="36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9"/>
    </row>
    <row r="24" spans="1:12" ht="12.75">
      <c r="A24" s="8"/>
      <c r="B24" s="34" t="s">
        <v>101</v>
      </c>
      <c r="C24" s="3"/>
      <c r="D24" s="3"/>
      <c r="E24" s="3"/>
      <c r="F24" s="3"/>
      <c r="G24" s="3"/>
      <c r="H24" s="3"/>
      <c r="I24" s="3"/>
      <c r="J24" s="3"/>
      <c r="K24" s="3"/>
      <c r="L24" s="9"/>
    </row>
    <row r="25" spans="1:12" ht="12.75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9"/>
    </row>
    <row r="26" spans="1:12" ht="12.75">
      <c r="A26" s="10" t="s">
        <v>23</v>
      </c>
      <c r="B26" s="30"/>
      <c r="C26" s="30"/>
      <c r="D26" s="30"/>
      <c r="E26" s="30"/>
      <c r="F26" s="13">
        <f>K26</f>
        <v>386945</v>
      </c>
      <c r="G26" s="12"/>
      <c r="H26" s="12"/>
      <c r="I26" s="12"/>
      <c r="J26" s="12"/>
      <c r="K26" s="12">
        <f>K19-K21</f>
        <v>386945</v>
      </c>
      <c r="L26" s="9"/>
    </row>
    <row r="27" spans="1:12" ht="12.75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9"/>
    </row>
    <row r="28" spans="1:12" ht="12.75">
      <c r="A28" s="33" t="s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9"/>
    </row>
    <row r="29" spans="1:12" ht="12.75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9"/>
    </row>
    <row r="30" spans="1:12" ht="12.75">
      <c r="A30" s="8" t="s">
        <v>26</v>
      </c>
      <c r="B30" s="3"/>
      <c r="C30" s="3"/>
      <c r="D30" s="3"/>
      <c r="E30" s="3" t="s">
        <v>27</v>
      </c>
      <c r="F30" s="3">
        <v>20</v>
      </c>
      <c r="G30" s="3"/>
      <c r="H30" s="3"/>
      <c r="I30" s="3"/>
      <c r="J30" s="3"/>
      <c r="K30" s="3"/>
      <c r="L30" s="9"/>
    </row>
    <row r="31" spans="1:12" ht="13.5" thickBot="1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9"/>
    </row>
    <row r="32" spans="1:12" ht="13.5" thickBot="1">
      <c r="A32" s="8" t="s">
        <v>28</v>
      </c>
      <c r="B32" s="3"/>
      <c r="C32" s="3"/>
      <c r="D32" s="3"/>
      <c r="E32" s="3" t="s">
        <v>29</v>
      </c>
      <c r="F32" s="47">
        <v>0.2</v>
      </c>
      <c r="G32" s="3"/>
      <c r="H32" s="3"/>
      <c r="I32" s="3"/>
      <c r="J32" s="3"/>
      <c r="K32" s="3"/>
      <c r="L32" s="9"/>
    </row>
    <row r="33" spans="1:12" ht="12.75">
      <c r="A33" s="8" t="s">
        <v>38</v>
      </c>
      <c r="B33" s="3"/>
      <c r="C33" s="3"/>
      <c r="D33" s="3"/>
      <c r="E33" s="3" t="s">
        <v>39</v>
      </c>
      <c r="F33" s="12">
        <f>F32*F26</f>
        <v>77389</v>
      </c>
      <c r="G33" s="3"/>
      <c r="H33" s="3"/>
      <c r="I33" s="3"/>
      <c r="J33" s="3"/>
      <c r="K33" s="3"/>
      <c r="L33" s="9"/>
    </row>
    <row r="34" spans="1:12" ht="12.75">
      <c r="A34" s="8" t="s">
        <v>40</v>
      </c>
      <c r="B34" s="3"/>
      <c r="C34" s="3"/>
      <c r="D34" s="3"/>
      <c r="E34" s="3"/>
      <c r="F34" s="12">
        <f>F26-F33</f>
        <v>309556</v>
      </c>
      <c r="G34" s="3"/>
      <c r="H34" s="3"/>
      <c r="I34" s="3"/>
      <c r="J34" s="3"/>
      <c r="K34" s="3"/>
      <c r="L34" s="9"/>
    </row>
    <row r="35" spans="1:12" ht="12.75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9"/>
    </row>
    <row r="36" spans="1:12" ht="12.75">
      <c r="A36" s="8" t="s">
        <v>33</v>
      </c>
      <c r="B36" s="3"/>
      <c r="C36" s="3"/>
      <c r="D36" s="3"/>
      <c r="E36" s="3"/>
      <c r="F36" s="35">
        <f>IF(F32&gt;=20%,F40,F41)</f>
        <v>0.0585</v>
      </c>
      <c r="G36" s="3"/>
      <c r="H36" s="3"/>
      <c r="I36" s="3"/>
      <c r="J36" s="3"/>
      <c r="K36" s="3"/>
      <c r="L36" s="9"/>
    </row>
    <row r="37" spans="1:12" ht="12.75">
      <c r="A37" s="8" t="s">
        <v>34</v>
      </c>
      <c r="B37" s="3"/>
      <c r="C37" s="3"/>
      <c r="D37" s="3"/>
      <c r="E37" s="3"/>
      <c r="F37" s="35">
        <f>IF(H22="y",2.9%,F36)</f>
        <v>0.028999999999999998</v>
      </c>
      <c r="G37" s="3"/>
      <c r="H37" s="3"/>
      <c r="I37" s="3"/>
      <c r="J37" s="3"/>
      <c r="K37" s="3"/>
      <c r="L37" s="9"/>
    </row>
    <row r="38" spans="1:12" ht="12.75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9"/>
    </row>
    <row r="39" spans="1:12" ht="12.75">
      <c r="A39" s="8" t="s">
        <v>30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9"/>
    </row>
    <row r="40" spans="1:12" ht="12.75">
      <c r="A40" s="8"/>
      <c r="B40" s="37" t="s">
        <v>31</v>
      </c>
      <c r="C40" s="3"/>
      <c r="D40" s="3"/>
      <c r="E40" s="3"/>
      <c r="F40" s="35">
        <v>0.0585</v>
      </c>
      <c r="G40" s="3"/>
      <c r="H40" s="3"/>
      <c r="I40" s="3"/>
      <c r="J40" s="3"/>
      <c r="K40" s="3"/>
      <c r="L40" s="9"/>
    </row>
    <row r="41" spans="1:12" ht="12.75">
      <c r="A41" s="8"/>
      <c r="B41" s="37" t="s">
        <v>32</v>
      </c>
      <c r="C41" s="3"/>
      <c r="D41" s="3"/>
      <c r="E41" s="3"/>
      <c r="F41" s="35">
        <v>0.0595</v>
      </c>
      <c r="G41" s="3"/>
      <c r="H41" s="3"/>
      <c r="I41" s="3"/>
      <c r="J41" s="3"/>
      <c r="K41" s="3"/>
      <c r="L41" s="9"/>
    </row>
    <row r="42" spans="1:12" ht="12.75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9"/>
    </row>
    <row r="43" spans="1:12" ht="12.75">
      <c r="A43" s="10" t="s">
        <v>35</v>
      </c>
      <c r="B43" s="30"/>
      <c r="C43" s="30"/>
      <c r="D43" s="30"/>
      <c r="E43" s="30"/>
      <c r="F43" s="30" t="s">
        <v>79</v>
      </c>
      <c r="G43" s="30" t="s">
        <v>80</v>
      </c>
      <c r="H43" s="3"/>
      <c r="I43" s="3"/>
      <c r="J43" s="3"/>
      <c r="K43" s="3"/>
      <c r="L43" s="9"/>
    </row>
    <row r="44" spans="1:12" ht="12.75">
      <c r="A44" s="10"/>
      <c r="B44" s="30" t="s">
        <v>36</v>
      </c>
      <c r="C44" s="30"/>
      <c r="D44" s="30"/>
      <c r="E44" s="30"/>
      <c r="F44" s="13">
        <f>PMT(F37/12,F30*12,F34)</f>
        <v>-1701.335249833584</v>
      </c>
      <c r="G44" s="13">
        <f>F44*12</f>
        <v>-20416.022998003005</v>
      </c>
      <c r="H44" s="3"/>
      <c r="I44" s="3"/>
      <c r="J44" s="3"/>
      <c r="K44" s="3"/>
      <c r="L44" s="9"/>
    </row>
    <row r="45" spans="1:12" ht="12.75">
      <c r="A45" s="10"/>
      <c r="B45" s="30" t="s">
        <v>37</v>
      </c>
      <c r="C45" s="30"/>
      <c r="D45" s="30"/>
      <c r="E45" s="30"/>
      <c r="F45" s="13">
        <f>PMT(F36/12,F30*12,F34)</f>
        <v>-2191.0511846395434</v>
      </c>
      <c r="G45" s="13">
        <f>F45*12</f>
        <v>-26292.61421567452</v>
      </c>
      <c r="H45" s="3"/>
      <c r="I45" s="3"/>
      <c r="J45" s="3"/>
      <c r="K45" s="3"/>
      <c r="L45" s="9"/>
    </row>
    <row r="46" spans="1:12" ht="6" customHeight="1" thickBo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</row>
    <row r="47" ht="8.25" customHeight="1"/>
    <row r="48" ht="8.25" customHeight="1" thickBot="1"/>
    <row r="49" spans="1:12" ht="15.75">
      <c r="A49" s="5" t="s">
        <v>41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</row>
    <row r="50" spans="1:12" ht="12.75">
      <c r="A50" s="8"/>
      <c r="B50" s="3"/>
      <c r="C50" s="3"/>
      <c r="D50" s="3"/>
      <c r="E50" s="3"/>
      <c r="F50" s="3"/>
      <c r="G50" s="3"/>
      <c r="H50" s="3"/>
      <c r="I50" s="3"/>
      <c r="J50" s="3"/>
      <c r="K50" s="3"/>
      <c r="L50" s="9"/>
    </row>
    <row r="51" spans="1:12" ht="12.75">
      <c r="A51" s="10" t="s">
        <v>42</v>
      </c>
      <c r="B51" s="3"/>
      <c r="C51" s="3"/>
      <c r="D51" s="3"/>
      <c r="E51" s="3"/>
      <c r="F51" s="2" t="s">
        <v>43</v>
      </c>
      <c r="G51" s="2" t="s">
        <v>44</v>
      </c>
      <c r="H51" s="2" t="s">
        <v>45</v>
      </c>
      <c r="I51" s="3"/>
      <c r="J51" s="3"/>
      <c r="K51" s="3"/>
      <c r="L51" s="9"/>
    </row>
    <row r="52" spans="1:12" ht="12.7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9"/>
    </row>
    <row r="53" spans="1:12" s="4" customFormat="1" ht="13.5" thickBot="1">
      <c r="A53" s="10" t="s">
        <v>62</v>
      </c>
      <c r="B53" s="29"/>
      <c r="C53" s="29"/>
      <c r="D53" s="29"/>
      <c r="E53" s="29"/>
      <c r="F53" s="29"/>
      <c r="G53" s="29"/>
      <c r="H53" s="30">
        <f>SUM(H54:H58)</f>
        <v>69.24000000000001</v>
      </c>
      <c r="I53" s="30">
        <f>H53+I58/G58</f>
        <v>73.24000000000001</v>
      </c>
      <c r="J53" s="29"/>
      <c r="K53" s="29"/>
      <c r="L53" s="31"/>
    </row>
    <row r="54" spans="1:12" ht="13.5" thickBot="1">
      <c r="A54" s="8" t="s">
        <v>47</v>
      </c>
      <c r="B54" s="3" t="s">
        <v>97</v>
      </c>
      <c r="C54" s="3"/>
      <c r="D54" s="3"/>
      <c r="E54" s="3"/>
      <c r="F54" s="48">
        <v>1500</v>
      </c>
      <c r="G54" s="3">
        <v>100</v>
      </c>
      <c r="H54" s="3">
        <f>F54/G54</f>
        <v>15</v>
      </c>
      <c r="I54" s="3"/>
      <c r="J54" s="3"/>
      <c r="K54" s="3"/>
      <c r="L54" s="9"/>
    </row>
    <row r="55" spans="1:12" ht="13.5" thickBot="1">
      <c r="A55" s="8" t="s">
        <v>47</v>
      </c>
      <c r="B55" s="3" t="s">
        <v>49</v>
      </c>
      <c r="C55" s="3"/>
      <c r="D55" s="3"/>
      <c r="E55" s="3"/>
      <c r="F55" s="49">
        <v>200</v>
      </c>
      <c r="G55" s="3">
        <v>100</v>
      </c>
      <c r="H55" s="3">
        <f>F55/G55</f>
        <v>2</v>
      </c>
      <c r="I55" s="3"/>
      <c r="J55" s="3"/>
      <c r="K55" s="3"/>
      <c r="L55" s="9"/>
    </row>
    <row r="56" spans="1:12" ht="13.5" thickBot="1">
      <c r="A56" s="14" t="s">
        <v>47</v>
      </c>
      <c r="B56" s="3" t="s">
        <v>50</v>
      </c>
      <c r="C56" s="3"/>
      <c r="D56" s="3"/>
      <c r="E56" s="3"/>
      <c r="F56" s="43">
        <v>2.99</v>
      </c>
      <c r="G56" s="50">
        <v>16</v>
      </c>
      <c r="H56" s="3">
        <f>G56*F56</f>
        <v>47.84</v>
      </c>
      <c r="I56" s="3"/>
      <c r="J56" s="3"/>
      <c r="K56" s="3"/>
      <c r="L56" s="9"/>
    </row>
    <row r="57" spans="1:12" ht="13.5" thickBot="1">
      <c r="A57" s="8" t="s">
        <v>47</v>
      </c>
      <c r="B57" s="3" t="s">
        <v>51</v>
      </c>
      <c r="C57" s="3"/>
      <c r="D57" s="3"/>
      <c r="E57" s="3"/>
      <c r="F57" s="48">
        <v>4</v>
      </c>
      <c r="G57" s="3">
        <v>10</v>
      </c>
      <c r="H57" s="3">
        <f>F57/G57</f>
        <v>0.4</v>
      </c>
      <c r="I57" s="3"/>
      <c r="J57" s="3"/>
      <c r="K57" s="3"/>
      <c r="L57" s="9"/>
    </row>
    <row r="58" spans="1:12" ht="13.5" thickBot="1">
      <c r="A58" s="8" t="s">
        <v>47</v>
      </c>
      <c r="B58" s="3" t="s">
        <v>52</v>
      </c>
      <c r="C58" s="3"/>
      <c r="D58" s="3"/>
      <c r="E58" s="3"/>
      <c r="F58" s="48">
        <v>400</v>
      </c>
      <c r="G58" s="3">
        <v>100</v>
      </c>
      <c r="H58" s="3">
        <f>F58/G58</f>
        <v>4</v>
      </c>
      <c r="I58" s="48">
        <v>400</v>
      </c>
      <c r="J58" s="3" t="s">
        <v>104</v>
      </c>
      <c r="K58" s="3"/>
      <c r="L58" s="9"/>
    </row>
    <row r="59" spans="1:12" ht="13.5" thickBot="1">
      <c r="A59" s="8"/>
      <c r="B59" s="3"/>
      <c r="C59" s="3"/>
      <c r="D59" s="3"/>
      <c r="E59" s="3"/>
      <c r="F59" s="12"/>
      <c r="G59" s="3"/>
      <c r="H59" s="3"/>
      <c r="I59" s="3"/>
      <c r="J59" s="3"/>
      <c r="K59" s="3"/>
      <c r="L59" s="9"/>
    </row>
    <row r="60" spans="1:12" ht="13.5" thickBot="1">
      <c r="A60" s="10" t="s">
        <v>105</v>
      </c>
      <c r="B60" s="3"/>
      <c r="C60" s="3"/>
      <c r="D60" s="3"/>
      <c r="E60" s="3"/>
      <c r="F60" s="48">
        <v>28000</v>
      </c>
      <c r="G60" s="3">
        <v>2000</v>
      </c>
      <c r="H60" s="30">
        <f>F60/2000</f>
        <v>14</v>
      </c>
      <c r="I60" s="3"/>
      <c r="J60" s="3"/>
      <c r="K60" s="3"/>
      <c r="L60" s="9"/>
    </row>
    <row r="61" spans="1:12" ht="13.5" thickBot="1">
      <c r="A61" s="10" t="s">
        <v>107</v>
      </c>
      <c r="B61" s="3"/>
      <c r="C61" s="3"/>
      <c r="D61" s="3"/>
      <c r="E61" s="3"/>
      <c r="F61" s="48">
        <v>3000</v>
      </c>
      <c r="G61" s="41">
        <v>2400</v>
      </c>
      <c r="H61" s="54">
        <f>F61/G61</f>
        <v>1.25</v>
      </c>
      <c r="I61" s="3"/>
      <c r="J61" s="3"/>
      <c r="K61" s="3"/>
      <c r="L61" s="9"/>
    </row>
    <row r="62" spans="1:12" ht="13.5" thickBot="1">
      <c r="A62" s="27"/>
      <c r="B62" s="16"/>
      <c r="C62" s="16"/>
      <c r="D62" s="16"/>
      <c r="E62" s="16"/>
      <c r="F62" s="22"/>
      <c r="G62" s="16"/>
      <c r="H62" s="32"/>
      <c r="I62" s="16"/>
      <c r="J62" s="16"/>
      <c r="K62" s="16"/>
      <c r="L62" s="17"/>
    </row>
    <row r="63" ht="13.5" thickBot="1"/>
    <row r="64" spans="1:12" ht="15.75">
      <c r="A64" s="5" t="s">
        <v>61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</row>
    <row r="65" spans="1:12" ht="12.75">
      <c r="A65" s="8"/>
      <c r="B65" s="3"/>
      <c r="C65" s="3"/>
      <c r="D65" s="3"/>
      <c r="E65" s="3"/>
      <c r="F65" s="3"/>
      <c r="G65" s="3"/>
      <c r="H65" s="3"/>
      <c r="I65" s="3"/>
      <c r="J65" s="3"/>
      <c r="K65" s="3"/>
      <c r="L65" s="9"/>
    </row>
    <row r="66" spans="1:12" ht="12.75">
      <c r="A66" s="10" t="s">
        <v>53</v>
      </c>
      <c r="B66" s="3"/>
      <c r="C66" s="3"/>
      <c r="D66" s="3"/>
      <c r="E66" s="3"/>
      <c r="F66" s="11"/>
      <c r="G66" s="2" t="s">
        <v>54</v>
      </c>
      <c r="H66" s="2" t="s">
        <v>55</v>
      </c>
      <c r="I66" s="3"/>
      <c r="J66" s="3"/>
      <c r="K66" s="3"/>
      <c r="L66" s="9"/>
    </row>
    <row r="67" spans="1:12" ht="12.75">
      <c r="A67" s="10"/>
      <c r="B67" s="3"/>
      <c r="C67" s="3"/>
      <c r="D67" s="3"/>
      <c r="E67" s="3"/>
      <c r="F67" s="11"/>
      <c r="G67" s="3"/>
      <c r="H67" s="3"/>
      <c r="I67" s="3"/>
      <c r="J67" s="3"/>
      <c r="K67" s="3"/>
      <c r="L67" s="9"/>
    </row>
    <row r="68" spans="1:12" ht="13.5" thickBot="1">
      <c r="A68" s="10" t="s">
        <v>46</v>
      </c>
      <c r="B68" s="3"/>
      <c r="C68" s="3"/>
      <c r="D68" s="3"/>
      <c r="E68" s="3"/>
      <c r="F68" s="11"/>
      <c r="G68" s="13">
        <f>SUM(G69:G72)</f>
        <v>7800</v>
      </c>
      <c r="H68" s="26">
        <f>SUM(H69:H72)</f>
        <v>650</v>
      </c>
      <c r="I68" s="3"/>
      <c r="J68" s="3"/>
      <c r="K68" s="3"/>
      <c r="L68" s="9"/>
    </row>
    <row r="69" spans="1:12" ht="13.5" thickBot="1">
      <c r="A69" s="8" t="s">
        <v>47</v>
      </c>
      <c r="B69" s="3" t="s">
        <v>56</v>
      </c>
      <c r="C69" s="3"/>
      <c r="D69" s="3"/>
      <c r="E69" s="3"/>
      <c r="F69" s="3"/>
      <c r="G69" s="48">
        <v>7800</v>
      </c>
      <c r="H69" s="12">
        <f>G69/12</f>
        <v>650</v>
      </c>
      <c r="I69" s="48">
        <v>0</v>
      </c>
      <c r="J69" s="3" t="s">
        <v>103</v>
      </c>
      <c r="K69" s="3"/>
      <c r="L69" s="9"/>
    </row>
    <row r="70" spans="1:12" ht="13.5" thickBot="1">
      <c r="A70" s="8" t="s">
        <v>47</v>
      </c>
      <c r="B70" s="3" t="s">
        <v>57</v>
      </c>
      <c r="C70" s="3"/>
      <c r="D70" s="3"/>
      <c r="E70" s="3"/>
      <c r="F70" s="3"/>
      <c r="G70" s="12">
        <f>H70*12</f>
        <v>0</v>
      </c>
      <c r="H70" s="48">
        <v>0</v>
      </c>
      <c r="I70" s="3"/>
      <c r="J70" s="3"/>
      <c r="K70" s="3"/>
      <c r="L70" s="9"/>
    </row>
    <row r="71" spans="1:12" ht="13.5" thickBot="1">
      <c r="A71" s="8" t="s">
        <v>47</v>
      </c>
      <c r="B71" s="3" t="s">
        <v>58</v>
      </c>
      <c r="C71" s="3"/>
      <c r="D71" s="3"/>
      <c r="E71" s="3"/>
      <c r="F71" s="3"/>
      <c r="G71" s="48">
        <v>0</v>
      </c>
      <c r="H71" s="12">
        <f>G71/12</f>
        <v>0</v>
      </c>
      <c r="I71" s="3"/>
      <c r="J71" s="3"/>
      <c r="K71" s="3"/>
      <c r="L71" s="9"/>
    </row>
    <row r="72" spans="1:12" ht="13.5" thickBot="1">
      <c r="A72" s="14" t="s">
        <v>59</v>
      </c>
      <c r="B72" s="3" t="s">
        <v>60</v>
      </c>
      <c r="C72" s="3"/>
      <c r="D72" s="3"/>
      <c r="E72" s="3"/>
      <c r="F72" s="53">
        <v>0</v>
      </c>
      <c r="G72" s="12">
        <f>F72*F26</f>
        <v>0</v>
      </c>
      <c r="H72" s="12">
        <f>G72/12</f>
        <v>0</v>
      </c>
      <c r="I72" s="3"/>
      <c r="J72" s="3"/>
      <c r="K72" s="3"/>
      <c r="L72" s="9"/>
    </row>
    <row r="73" spans="1:12" ht="13.5" thickBot="1">
      <c r="A73" s="14"/>
      <c r="B73" s="3"/>
      <c r="C73" s="3"/>
      <c r="D73" s="3"/>
      <c r="E73" s="3"/>
      <c r="F73" s="3"/>
      <c r="G73" s="12"/>
      <c r="H73" s="12"/>
      <c r="I73" s="3"/>
      <c r="J73" s="3"/>
      <c r="K73" s="3"/>
      <c r="L73" s="9"/>
    </row>
    <row r="74" spans="1:12" ht="13.5" thickBot="1">
      <c r="A74" s="55" t="s">
        <v>106</v>
      </c>
      <c r="C74" s="3"/>
      <c r="D74" s="3"/>
      <c r="E74" s="3"/>
      <c r="F74" s="3"/>
      <c r="G74" s="48">
        <v>1000</v>
      </c>
      <c r="H74" s="12"/>
      <c r="I74" s="3"/>
      <c r="J74" s="3"/>
      <c r="K74" s="3"/>
      <c r="L74" s="9"/>
    </row>
    <row r="75" spans="1:12" ht="13.5" thickBot="1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7"/>
    </row>
    <row r="76" ht="13.5" thickBot="1"/>
    <row r="77" spans="1:12" ht="15.75">
      <c r="A77" s="5" t="s">
        <v>63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7"/>
    </row>
    <row r="78" spans="1:12" ht="13.5" thickBot="1">
      <c r="A78" s="8"/>
      <c r="B78" s="3"/>
      <c r="C78" s="3"/>
      <c r="D78" s="3"/>
      <c r="E78" s="3"/>
      <c r="F78" s="3"/>
      <c r="G78" s="3"/>
      <c r="H78" s="3"/>
      <c r="I78" s="3"/>
      <c r="J78" s="3"/>
      <c r="K78" s="3"/>
      <c r="L78" s="9"/>
    </row>
    <row r="79" spans="1:12" ht="13.5" thickBot="1">
      <c r="A79" s="8" t="s">
        <v>64</v>
      </c>
      <c r="B79" s="3"/>
      <c r="C79" s="3"/>
      <c r="D79" s="3"/>
      <c r="E79" s="3"/>
      <c r="F79" s="3"/>
      <c r="G79" s="50" t="s">
        <v>21</v>
      </c>
      <c r="H79" s="3" t="s">
        <v>65</v>
      </c>
      <c r="I79" s="3"/>
      <c r="J79" s="3"/>
      <c r="K79" s="3"/>
      <c r="L79" s="9"/>
    </row>
    <row r="80" spans="1:12" ht="12.75">
      <c r="A80" s="8"/>
      <c r="B80" s="3"/>
      <c r="C80" s="3"/>
      <c r="D80" s="3"/>
      <c r="E80" s="3"/>
      <c r="F80" s="3"/>
      <c r="G80" s="3"/>
      <c r="H80" s="3"/>
      <c r="I80" s="3"/>
      <c r="J80" s="3"/>
      <c r="K80" s="3"/>
      <c r="L80" s="9"/>
    </row>
    <row r="81" spans="1:12" ht="13.5" thickBot="1">
      <c r="A81" s="8" t="s">
        <v>66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9"/>
    </row>
    <row r="82" spans="1:12" ht="13.5" thickBot="1">
      <c r="A82" s="14" t="s">
        <v>47</v>
      </c>
      <c r="B82" s="3" t="s">
        <v>67</v>
      </c>
      <c r="C82" s="3"/>
      <c r="D82" s="3"/>
      <c r="E82" s="3"/>
      <c r="F82" s="1">
        <v>0.5</v>
      </c>
      <c r="G82" s="50" t="s">
        <v>21</v>
      </c>
      <c r="H82" s="3" t="s">
        <v>65</v>
      </c>
      <c r="I82" s="3"/>
      <c r="J82" s="3"/>
      <c r="K82" s="12">
        <f>IF(G82="y",(F26-K83)*F82,0)</f>
        <v>143472.5</v>
      </c>
      <c r="L82" s="9"/>
    </row>
    <row r="83" spans="1:12" ht="13.5" thickBot="1">
      <c r="A83" s="14" t="s">
        <v>59</v>
      </c>
      <c r="B83" s="3" t="s">
        <v>68</v>
      </c>
      <c r="C83" s="3"/>
      <c r="D83" s="3"/>
      <c r="E83" s="3"/>
      <c r="F83" s="12">
        <v>100000</v>
      </c>
      <c r="G83" s="50" t="s">
        <v>21</v>
      </c>
      <c r="H83" s="3" t="s">
        <v>65</v>
      </c>
      <c r="I83" s="3"/>
      <c r="J83" s="3"/>
      <c r="K83" s="12">
        <f>F83</f>
        <v>100000</v>
      </c>
      <c r="L83" s="9"/>
    </row>
    <row r="84" spans="1:12" ht="13.5" thickBot="1">
      <c r="A84" s="14" t="s">
        <v>47</v>
      </c>
      <c r="B84" s="3" t="s">
        <v>69</v>
      </c>
      <c r="C84" s="3"/>
      <c r="D84" s="3"/>
      <c r="E84" s="3"/>
      <c r="F84" s="24">
        <f>IF(G84&gt;0,G84*0.05,0)</f>
        <v>0.2</v>
      </c>
      <c r="G84" s="50">
        <v>4</v>
      </c>
      <c r="H84" s="3" t="s">
        <v>70</v>
      </c>
      <c r="I84" s="3"/>
      <c r="J84" s="3"/>
      <c r="K84" s="12">
        <f>F84*(F26-K83-K82)</f>
        <v>28694.5</v>
      </c>
      <c r="L84" s="9"/>
    </row>
    <row r="85" spans="1:12" ht="12.75">
      <c r="A85" s="8"/>
      <c r="B85" s="3"/>
      <c r="C85" s="3"/>
      <c r="D85" s="3"/>
      <c r="E85" s="3"/>
      <c r="F85" s="3"/>
      <c r="G85" s="3"/>
      <c r="H85" s="3"/>
      <c r="I85" s="3"/>
      <c r="J85" s="3"/>
      <c r="K85" s="3"/>
      <c r="L85" s="9"/>
    </row>
    <row r="86" spans="1:12" ht="12.75">
      <c r="A86" s="10" t="s">
        <v>86</v>
      </c>
      <c r="B86" s="3"/>
      <c r="C86" s="3"/>
      <c r="D86" s="3"/>
      <c r="E86" s="3"/>
      <c r="F86" s="13">
        <f>IF(G79="y",SUM(K82:K84),0)</f>
        <v>272167</v>
      </c>
      <c r="G86" s="24">
        <f>F86/F26</f>
        <v>0.7033738645027071</v>
      </c>
      <c r="H86" s="3"/>
      <c r="I86" s="3"/>
      <c r="J86" s="3"/>
      <c r="K86" s="3"/>
      <c r="L86" s="9"/>
    </row>
    <row r="87" spans="1:12" ht="12.75">
      <c r="A87" s="10"/>
      <c r="B87" s="3"/>
      <c r="C87" s="3"/>
      <c r="D87" s="3"/>
      <c r="E87" s="3"/>
      <c r="F87" s="13"/>
      <c r="G87" s="24"/>
      <c r="H87" s="3"/>
      <c r="I87" s="3"/>
      <c r="J87" s="3"/>
      <c r="K87" s="3"/>
      <c r="L87" s="9"/>
    </row>
    <row r="88" spans="1:12" ht="12.75">
      <c r="A88" s="25" t="s">
        <v>88</v>
      </c>
      <c r="B88" s="3"/>
      <c r="C88" s="3"/>
      <c r="D88" s="3"/>
      <c r="E88" s="3"/>
      <c r="F88" s="26">
        <f>F26-F86</f>
        <v>114778</v>
      </c>
      <c r="G88" s="24"/>
      <c r="H88" s="3"/>
      <c r="I88" s="3"/>
      <c r="J88" s="3"/>
      <c r="K88" s="3"/>
      <c r="L88" s="9"/>
    </row>
    <row r="89" spans="1:12" ht="12.75">
      <c r="A89" s="25" t="s">
        <v>87</v>
      </c>
      <c r="B89" s="3"/>
      <c r="C89" s="3"/>
      <c r="D89" s="3"/>
      <c r="E89" s="3"/>
      <c r="F89" s="26">
        <f>IF(G79="y",F88/(20-G84)*4,0)</f>
        <v>28694.5</v>
      </c>
      <c r="G89" s="24"/>
      <c r="H89" s="3"/>
      <c r="I89" s="3"/>
      <c r="J89" s="3"/>
      <c r="K89" s="3"/>
      <c r="L89" s="9"/>
    </row>
    <row r="90" spans="1:12" ht="13.5" thickBot="1">
      <c r="A90" s="8"/>
      <c r="B90" s="3"/>
      <c r="C90" s="3"/>
      <c r="D90" s="3"/>
      <c r="E90" s="3"/>
      <c r="F90" s="3"/>
      <c r="G90" s="3"/>
      <c r="H90" s="3"/>
      <c r="I90" s="3"/>
      <c r="J90" s="3"/>
      <c r="K90" s="3"/>
      <c r="L90" s="9"/>
    </row>
    <row r="91" spans="1:12" ht="13.5" thickBot="1">
      <c r="A91" s="8" t="s">
        <v>71</v>
      </c>
      <c r="B91" s="3"/>
      <c r="C91" s="3"/>
      <c r="D91" s="3"/>
      <c r="E91" s="3"/>
      <c r="F91" s="3"/>
      <c r="G91" s="47">
        <v>0.35</v>
      </c>
      <c r="H91" s="3" t="s">
        <v>72</v>
      </c>
      <c r="I91" s="3"/>
      <c r="J91" s="3"/>
      <c r="K91" s="3"/>
      <c r="L91" s="9"/>
    </row>
    <row r="92" spans="1:12" ht="12.75">
      <c r="A92" s="8"/>
      <c r="B92" s="3"/>
      <c r="C92" s="3"/>
      <c r="D92" s="3"/>
      <c r="E92" s="3"/>
      <c r="F92" s="3"/>
      <c r="G92" s="3"/>
      <c r="H92" s="3"/>
      <c r="I92" s="3"/>
      <c r="J92" s="3"/>
      <c r="K92" s="3"/>
      <c r="L92" s="9"/>
    </row>
    <row r="93" spans="1:12" ht="12.75">
      <c r="A93" s="10" t="s">
        <v>89</v>
      </c>
      <c r="B93" s="3"/>
      <c r="C93" s="3"/>
      <c r="D93" s="3"/>
      <c r="E93" s="3"/>
      <c r="F93" s="13">
        <f>F86*G91</f>
        <v>95258.45</v>
      </c>
      <c r="G93" s="3"/>
      <c r="H93" s="3"/>
      <c r="I93" s="3"/>
      <c r="J93" s="3"/>
      <c r="K93" s="3"/>
      <c r="L93" s="9"/>
    </row>
    <row r="94" spans="1:12" ht="12.75">
      <c r="A94" s="10" t="s">
        <v>90</v>
      </c>
      <c r="B94" s="3"/>
      <c r="C94" s="3"/>
      <c r="D94" s="3"/>
      <c r="E94" s="3"/>
      <c r="F94" s="13">
        <f>F89*G91</f>
        <v>10043.074999999999</v>
      </c>
      <c r="G94" s="3"/>
      <c r="H94" s="3"/>
      <c r="I94" s="3"/>
      <c r="J94" s="3"/>
      <c r="K94" s="3"/>
      <c r="L94" s="9"/>
    </row>
    <row r="95" spans="1:12" ht="13.5" thickBot="1">
      <c r="A95" s="27"/>
      <c r="B95" s="16"/>
      <c r="C95" s="16"/>
      <c r="D95" s="16"/>
      <c r="E95" s="16"/>
      <c r="F95" s="28"/>
      <c r="G95" s="16"/>
      <c r="H95" s="16"/>
      <c r="I95" s="16"/>
      <c r="J95" s="16"/>
      <c r="K95" s="16"/>
      <c r="L95" s="17"/>
    </row>
    <row r="96" ht="13.5" thickBot="1"/>
    <row r="97" spans="1:12" ht="15.75">
      <c r="A97" s="5" t="s">
        <v>74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7"/>
    </row>
    <row r="98" spans="1:12" ht="13.5" thickBot="1">
      <c r="A98" s="8"/>
      <c r="B98" s="3"/>
      <c r="C98" s="3"/>
      <c r="D98" s="3"/>
      <c r="E98" s="3"/>
      <c r="F98" s="3"/>
      <c r="G98" s="3"/>
      <c r="H98" s="3"/>
      <c r="I98" s="3"/>
      <c r="J98" s="3"/>
      <c r="K98" s="3"/>
      <c r="L98" s="9"/>
    </row>
    <row r="99" spans="1:12" ht="12.75">
      <c r="A99" s="18" t="s">
        <v>75</v>
      </c>
      <c r="B99" s="6"/>
      <c r="C99" s="6"/>
      <c r="D99" s="6"/>
      <c r="E99" s="6"/>
      <c r="F99" s="6"/>
      <c r="G99" s="6"/>
      <c r="H99" s="6"/>
      <c r="I99" s="6"/>
      <c r="J99" s="6"/>
      <c r="K99" s="7"/>
      <c r="L99" s="9"/>
    </row>
    <row r="100" spans="1:12" ht="12.75">
      <c r="A100" s="10"/>
      <c r="B100" s="3"/>
      <c r="C100" s="3"/>
      <c r="D100" s="3"/>
      <c r="E100" s="3"/>
      <c r="F100" s="3"/>
      <c r="G100" s="3"/>
      <c r="H100" s="3"/>
      <c r="I100" s="3"/>
      <c r="J100" s="3"/>
      <c r="K100" s="9"/>
      <c r="L100" s="9"/>
    </row>
    <row r="101" spans="1:12" ht="13.5" thickBot="1">
      <c r="A101" s="10" t="s">
        <v>82</v>
      </c>
      <c r="B101" s="3"/>
      <c r="C101" s="3"/>
      <c r="D101" s="3"/>
      <c r="E101" s="3"/>
      <c r="F101" s="19">
        <f>-G44+G68-F93</f>
        <v>-67042.42700199698</v>
      </c>
      <c r="G101" s="3" t="s">
        <v>73</v>
      </c>
      <c r="H101" s="3"/>
      <c r="I101" s="3"/>
      <c r="J101" s="3"/>
      <c r="K101" s="9"/>
      <c r="L101" s="9"/>
    </row>
    <row r="102" spans="1:12" ht="13.5" thickBot="1">
      <c r="A102" s="10" t="s">
        <v>83</v>
      </c>
      <c r="B102" s="3"/>
      <c r="C102" s="3"/>
      <c r="D102" s="3"/>
      <c r="E102" s="3"/>
      <c r="F102" s="19">
        <f>F101+F33/H102</f>
        <v>10346.572998003016</v>
      </c>
      <c r="G102" s="3" t="s">
        <v>84</v>
      </c>
      <c r="H102" s="50">
        <v>1</v>
      </c>
      <c r="I102" s="3" t="s">
        <v>96</v>
      </c>
      <c r="J102" s="3"/>
      <c r="K102" s="9"/>
      <c r="L102" s="9"/>
    </row>
    <row r="103" spans="1:12" ht="12.75">
      <c r="A103" s="8"/>
      <c r="B103" s="3"/>
      <c r="C103" s="3"/>
      <c r="D103" s="3"/>
      <c r="E103" s="3"/>
      <c r="F103" s="3"/>
      <c r="G103" s="3"/>
      <c r="H103" s="3"/>
      <c r="I103" s="3"/>
      <c r="J103" s="3"/>
      <c r="K103" s="9"/>
      <c r="L103" s="9"/>
    </row>
    <row r="104" spans="1:12" ht="12.75">
      <c r="A104" s="10" t="s">
        <v>76</v>
      </c>
      <c r="B104" s="3"/>
      <c r="C104" s="3"/>
      <c r="D104" s="3"/>
      <c r="E104" s="3"/>
      <c r="F104" s="3"/>
      <c r="G104" s="3"/>
      <c r="H104" s="3"/>
      <c r="I104" s="3"/>
      <c r="J104" s="3"/>
      <c r="K104" s="9"/>
      <c r="L104" s="9"/>
    </row>
    <row r="105" spans="1:12" ht="12.75">
      <c r="A105" s="8" t="s">
        <v>77</v>
      </c>
      <c r="B105" s="3"/>
      <c r="C105" s="3"/>
      <c r="D105" s="3"/>
      <c r="E105" s="3"/>
      <c r="F105" s="2">
        <v>10</v>
      </c>
      <c r="G105" s="2">
        <v>15</v>
      </c>
      <c r="H105" s="2">
        <v>20</v>
      </c>
      <c r="I105" s="2">
        <v>25</v>
      </c>
      <c r="J105" s="2">
        <v>30</v>
      </c>
      <c r="K105" s="20">
        <v>40</v>
      </c>
      <c r="L105" s="9"/>
    </row>
    <row r="106" spans="1:12" ht="12.75">
      <c r="A106" s="8" t="s">
        <v>78</v>
      </c>
      <c r="B106" s="3"/>
      <c r="C106" s="3"/>
      <c r="D106" s="3"/>
      <c r="E106" s="3"/>
      <c r="F106" s="3">
        <f aca="true" t="shared" si="1" ref="F106:K106">F105*12</f>
        <v>120</v>
      </c>
      <c r="G106" s="3">
        <f t="shared" si="1"/>
        <v>180</v>
      </c>
      <c r="H106" s="3">
        <f t="shared" si="1"/>
        <v>240</v>
      </c>
      <c r="I106" s="3">
        <f t="shared" si="1"/>
        <v>300</v>
      </c>
      <c r="J106" s="3">
        <f t="shared" si="1"/>
        <v>360</v>
      </c>
      <c r="K106" s="9">
        <f t="shared" si="1"/>
        <v>480</v>
      </c>
      <c r="L106" s="9"/>
    </row>
    <row r="107" spans="1:12" ht="12.75">
      <c r="A107" s="8"/>
      <c r="B107" s="3"/>
      <c r="C107" s="3"/>
      <c r="D107" s="3"/>
      <c r="E107" s="3"/>
      <c r="F107" s="3"/>
      <c r="G107" s="3"/>
      <c r="H107" s="3"/>
      <c r="I107" s="3"/>
      <c r="J107" s="3"/>
      <c r="K107" s="9"/>
      <c r="L107" s="9"/>
    </row>
    <row r="108" spans="1:12" ht="12.75">
      <c r="A108" s="8" t="s">
        <v>91</v>
      </c>
      <c r="B108" s="3"/>
      <c r="C108" s="3"/>
      <c r="D108" s="3"/>
      <c r="E108" s="3"/>
      <c r="F108" s="12">
        <f aca="true" t="shared" si="2" ref="F108:K108">$H$53+$F$101/F106</f>
        <v>-489.4468916833082</v>
      </c>
      <c r="G108" s="12">
        <f t="shared" si="2"/>
        <v>-303.21792778887215</v>
      </c>
      <c r="H108" s="12">
        <f t="shared" si="2"/>
        <v>-210.1034458416541</v>
      </c>
      <c r="I108" s="12">
        <f t="shared" si="2"/>
        <v>-154.23475667332326</v>
      </c>
      <c r="J108" s="12">
        <f t="shared" si="2"/>
        <v>-116.98896389443607</v>
      </c>
      <c r="K108" s="21">
        <f t="shared" si="2"/>
        <v>-70.43172292082704</v>
      </c>
      <c r="L108" s="9"/>
    </row>
    <row r="109" spans="1:12" ht="13.5" thickBot="1">
      <c r="A109" s="15" t="s">
        <v>81</v>
      </c>
      <c r="B109" s="16"/>
      <c r="C109" s="16"/>
      <c r="D109" s="16"/>
      <c r="E109" s="16"/>
      <c r="F109" s="22">
        <f aca="true" t="shared" si="3" ref="F109:K109">($H$53+$H$60+$H$61)+($F$101+$G$74)/F106</f>
        <v>-465.8635583499748</v>
      </c>
      <c r="G109" s="22">
        <f t="shared" si="3"/>
        <v>-282.41237223331655</v>
      </c>
      <c r="H109" s="22">
        <f t="shared" si="3"/>
        <v>-190.6867791749874</v>
      </c>
      <c r="I109" s="22">
        <f t="shared" si="3"/>
        <v>-135.65142333998995</v>
      </c>
      <c r="J109" s="22">
        <f t="shared" si="3"/>
        <v>-98.96118611665827</v>
      </c>
      <c r="K109" s="23">
        <f t="shared" si="3"/>
        <v>-53.0983895874937</v>
      </c>
      <c r="L109" s="9"/>
    </row>
    <row r="110" spans="1:12" ht="12.75">
      <c r="A110" s="8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9"/>
    </row>
    <row r="111" spans="1:12" ht="13.5" thickBot="1">
      <c r="A111" s="8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9"/>
    </row>
    <row r="112" spans="1:12" ht="12.75">
      <c r="A112" s="18" t="s">
        <v>85</v>
      </c>
      <c r="B112" s="6"/>
      <c r="C112" s="6"/>
      <c r="D112" s="6"/>
      <c r="E112" s="6"/>
      <c r="F112" s="6"/>
      <c r="G112" s="6"/>
      <c r="H112" s="6"/>
      <c r="I112" s="6"/>
      <c r="J112" s="6"/>
      <c r="K112" s="7"/>
      <c r="L112" s="9"/>
    </row>
    <row r="113" spans="1:12" ht="12.75">
      <c r="A113" s="8"/>
      <c r="B113" s="3"/>
      <c r="C113" s="3"/>
      <c r="D113" s="3"/>
      <c r="E113" s="3"/>
      <c r="F113" s="3"/>
      <c r="G113" s="3"/>
      <c r="H113" s="3"/>
      <c r="I113" s="3"/>
      <c r="J113" s="3"/>
      <c r="K113" s="9"/>
      <c r="L113" s="9"/>
    </row>
    <row r="114" spans="1:12" ht="12.75">
      <c r="A114" s="10" t="s">
        <v>82</v>
      </c>
      <c r="B114" s="3"/>
      <c r="C114" s="3"/>
      <c r="D114" s="3"/>
      <c r="E114" s="3"/>
      <c r="F114" s="19">
        <f>-$G$44+$G$68-$F$94-I69/2</f>
        <v>18172.94799800301</v>
      </c>
      <c r="G114" s="3" t="s">
        <v>73</v>
      </c>
      <c r="H114" s="3"/>
      <c r="I114" s="3"/>
      <c r="J114" s="3"/>
      <c r="K114" s="9"/>
      <c r="L114" s="9"/>
    </row>
    <row r="115" spans="1:12" ht="12.75">
      <c r="A115" s="10" t="s">
        <v>83</v>
      </c>
      <c r="B115" s="3"/>
      <c r="C115" s="3"/>
      <c r="D115" s="3"/>
      <c r="E115" s="3"/>
      <c r="F115" s="19">
        <f>IF(H102&gt;1,F33/H115,0)+F114</f>
        <v>18172.94799800301</v>
      </c>
      <c r="G115" s="3" t="s">
        <v>84</v>
      </c>
      <c r="H115" s="3">
        <f>H102</f>
        <v>1</v>
      </c>
      <c r="I115" s="3" t="s">
        <v>27</v>
      </c>
      <c r="J115" s="3"/>
      <c r="K115" s="9"/>
      <c r="L115" s="9"/>
    </row>
    <row r="116" spans="1:12" ht="12.75">
      <c r="A116" s="8"/>
      <c r="B116" s="3"/>
      <c r="C116" s="3"/>
      <c r="D116" s="3"/>
      <c r="E116" s="3"/>
      <c r="F116" s="3"/>
      <c r="G116" s="3"/>
      <c r="H116" s="3"/>
      <c r="I116" s="3"/>
      <c r="J116" s="3"/>
      <c r="K116" s="9"/>
      <c r="L116" s="9"/>
    </row>
    <row r="117" spans="1:12" ht="12.75">
      <c r="A117" s="10" t="s">
        <v>76</v>
      </c>
      <c r="B117" s="3"/>
      <c r="C117" s="3"/>
      <c r="D117" s="3"/>
      <c r="E117" s="3"/>
      <c r="F117" s="3"/>
      <c r="G117" s="3"/>
      <c r="H117" s="3"/>
      <c r="I117" s="3"/>
      <c r="J117" s="3"/>
      <c r="K117" s="9"/>
      <c r="L117" s="9"/>
    </row>
    <row r="118" spans="1:12" ht="12.75">
      <c r="A118" s="8" t="s">
        <v>77</v>
      </c>
      <c r="B118" s="3"/>
      <c r="C118" s="3"/>
      <c r="D118" s="3"/>
      <c r="E118" s="3"/>
      <c r="F118" s="2">
        <v>10</v>
      </c>
      <c r="G118" s="2">
        <v>15</v>
      </c>
      <c r="H118" s="2">
        <v>20</v>
      </c>
      <c r="I118" s="2">
        <v>25</v>
      </c>
      <c r="J118" s="2">
        <v>30</v>
      </c>
      <c r="K118" s="20">
        <v>40</v>
      </c>
      <c r="L118" s="9"/>
    </row>
    <row r="119" spans="1:12" ht="12.75">
      <c r="A119" s="8" t="s">
        <v>78</v>
      </c>
      <c r="B119" s="3"/>
      <c r="C119" s="3"/>
      <c r="D119" s="3"/>
      <c r="E119" s="3"/>
      <c r="F119" s="3">
        <f aca="true" t="shared" si="4" ref="F119:K119">F118*12</f>
        <v>120</v>
      </c>
      <c r="G119" s="3">
        <f t="shared" si="4"/>
        <v>180</v>
      </c>
      <c r="H119" s="3">
        <f t="shared" si="4"/>
        <v>240</v>
      </c>
      <c r="I119" s="3">
        <f t="shared" si="4"/>
        <v>300</v>
      </c>
      <c r="J119" s="3">
        <f t="shared" si="4"/>
        <v>360</v>
      </c>
      <c r="K119" s="9">
        <f t="shared" si="4"/>
        <v>480</v>
      </c>
      <c r="L119" s="9"/>
    </row>
    <row r="120" spans="1:12" ht="12.75">
      <c r="A120" s="8"/>
      <c r="B120" s="3"/>
      <c r="C120" s="3"/>
      <c r="D120" s="3"/>
      <c r="E120" s="3"/>
      <c r="F120" s="3"/>
      <c r="G120" s="3"/>
      <c r="H120" s="3"/>
      <c r="I120" s="3"/>
      <c r="J120" s="3"/>
      <c r="K120" s="9"/>
      <c r="L120" s="9"/>
    </row>
    <row r="121" spans="1:12" ht="12.75">
      <c r="A121" s="8" t="s">
        <v>91</v>
      </c>
      <c r="B121" s="3"/>
      <c r="C121" s="3"/>
      <c r="D121" s="3"/>
      <c r="E121" s="3"/>
      <c r="F121" s="12">
        <f aca="true" t="shared" si="5" ref="F121:K121">$H$53+$F$114/F119</f>
        <v>220.68123331669173</v>
      </c>
      <c r="G121" s="12">
        <f t="shared" si="5"/>
        <v>170.20082221112784</v>
      </c>
      <c r="H121" s="12">
        <f t="shared" si="5"/>
        <v>144.96061665834588</v>
      </c>
      <c r="I121" s="12">
        <f t="shared" si="5"/>
        <v>129.81649332667672</v>
      </c>
      <c r="J121" s="12">
        <f t="shared" si="5"/>
        <v>119.72041110556393</v>
      </c>
      <c r="K121" s="21">
        <f t="shared" si="5"/>
        <v>107.10030832917295</v>
      </c>
      <c r="L121" s="9"/>
    </row>
    <row r="122" spans="1:12" ht="13.5" thickBot="1">
      <c r="A122" s="15" t="s">
        <v>81</v>
      </c>
      <c r="B122" s="16"/>
      <c r="C122" s="16"/>
      <c r="D122" s="16"/>
      <c r="E122" s="16"/>
      <c r="F122" s="22">
        <f aca="true" t="shared" si="6" ref="F122:K122">($H$53+$H$60+$H$61)+($F$114+$G$74)/F119</f>
        <v>244.26456665002507</v>
      </c>
      <c r="G122" s="22">
        <f t="shared" si="6"/>
        <v>191.00637776668339</v>
      </c>
      <c r="H122" s="22">
        <f t="shared" si="6"/>
        <v>164.37728332501254</v>
      </c>
      <c r="I122" s="22">
        <f t="shared" si="6"/>
        <v>148.39982666001004</v>
      </c>
      <c r="J122" s="22">
        <f t="shared" si="6"/>
        <v>137.7481888833417</v>
      </c>
      <c r="K122" s="23">
        <f t="shared" si="6"/>
        <v>124.43364166250628</v>
      </c>
      <c r="L122" s="9"/>
    </row>
    <row r="123" spans="1:12" ht="12.75">
      <c r="A123" s="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9"/>
    </row>
    <row r="124" spans="1:12" ht="13.5" thickBot="1">
      <c r="A124" s="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9"/>
    </row>
    <row r="125" spans="1:12" ht="12.75">
      <c r="A125" s="18" t="s">
        <v>102</v>
      </c>
      <c r="B125" s="6"/>
      <c r="C125" s="6"/>
      <c r="D125" s="6"/>
      <c r="E125" s="6"/>
      <c r="F125" s="6"/>
      <c r="G125" s="6"/>
      <c r="H125" s="6"/>
      <c r="I125" s="6"/>
      <c r="J125" s="6"/>
      <c r="K125" s="7"/>
      <c r="L125" s="9"/>
    </row>
    <row r="126" spans="1:12" ht="12.75">
      <c r="A126" s="8"/>
      <c r="B126" s="3"/>
      <c r="C126" s="3"/>
      <c r="D126" s="3"/>
      <c r="E126" s="3"/>
      <c r="F126" s="3"/>
      <c r="G126" s="3"/>
      <c r="H126" s="3"/>
      <c r="I126" s="3"/>
      <c r="J126" s="3"/>
      <c r="K126" s="9"/>
      <c r="L126" s="9"/>
    </row>
    <row r="127" spans="1:12" ht="12.75">
      <c r="A127" s="10" t="s">
        <v>82</v>
      </c>
      <c r="B127" s="3"/>
      <c r="C127" s="3"/>
      <c r="D127" s="3"/>
      <c r="E127" s="3"/>
      <c r="F127" s="19">
        <f>-G45+$G$68-$F$94-I69</f>
        <v>24049.539215674522</v>
      </c>
      <c r="G127" s="3" t="s">
        <v>73</v>
      </c>
      <c r="H127" s="3"/>
      <c r="I127" s="3"/>
      <c r="J127" s="3"/>
      <c r="K127" s="9"/>
      <c r="L127" s="9"/>
    </row>
    <row r="128" spans="1:12" ht="12.75">
      <c r="A128" s="10" t="s">
        <v>83</v>
      </c>
      <c r="B128" s="3"/>
      <c r="C128" s="3"/>
      <c r="D128" s="3"/>
      <c r="E128" s="3"/>
      <c r="F128" s="19">
        <f>IF(H115&gt;2,F33/H128,0)+F127</f>
        <v>24049.539215674522</v>
      </c>
      <c r="G128" s="3" t="s">
        <v>84</v>
      </c>
      <c r="H128" s="3">
        <f>H115</f>
        <v>1</v>
      </c>
      <c r="I128" s="3" t="s">
        <v>27</v>
      </c>
      <c r="J128" s="3"/>
      <c r="K128" s="9"/>
      <c r="L128" s="9"/>
    </row>
    <row r="129" spans="1:12" ht="12.75">
      <c r="A129" s="8"/>
      <c r="B129" s="3"/>
      <c r="C129" s="3"/>
      <c r="D129" s="3"/>
      <c r="E129" s="3"/>
      <c r="F129" s="3"/>
      <c r="G129" s="3"/>
      <c r="H129" s="3"/>
      <c r="I129" s="3"/>
      <c r="J129" s="3"/>
      <c r="K129" s="9"/>
      <c r="L129" s="9"/>
    </row>
    <row r="130" spans="1:12" ht="12.75">
      <c r="A130" s="10" t="s">
        <v>76</v>
      </c>
      <c r="B130" s="3"/>
      <c r="C130" s="3"/>
      <c r="D130" s="3"/>
      <c r="E130" s="3"/>
      <c r="F130" s="3"/>
      <c r="G130" s="3"/>
      <c r="H130" s="3"/>
      <c r="I130" s="3"/>
      <c r="J130" s="3"/>
      <c r="K130" s="9"/>
      <c r="L130" s="9"/>
    </row>
    <row r="131" spans="1:12" ht="12.75">
      <c r="A131" s="8" t="s">
        <v>77</v>
      </c>
      <c r="B131" s="3"/>
      <c r="C131" s="3"/>
      <c r="D131" s="3"/>
      <c r="E131" s="3"/>
      <c r="F131" s="2">
        <v>10</v>
      </c>
      <c r="G131" s="2">
        <v>15</v>
      </c>
      <c r="H131" s="2">
        <v>20</v>
      </c>
      <c r="I131" s="2">
        <v>25</v>
      </c>
      <c r="J131" s="2">
        <v>30</v>
      </c>
      <c r="K131" s="20">
        <v>40</v>
      </c>
      <c r="L131" s="9"/>
    </row>
    <row r="132" spans="1:12" ht="12.75">
      <c r="A132" s="8" t="s">
        <v>78</v>
      </c>
      <c r="B132" s="3"/>
      <c r="C132" s="3"/>
      <c r="D132" s="3"/>
      <c r="E132" s="3"/>
      <c r="F132" s="3">
        <f aca="true" t="shared" si="7" ref="F132:K132">F131*12</f>
        <v>120</v>
      </c>
      <c r="G132" s="3">
        <f t="shared" si="7"/>
        <v>180</v>
      </c>
      <c r="H132" s="3">
        <f t="shared" si="7"/>
        <v>240</v>
      </c>
      <c r="I132" s="3">
        <f t="shared" si="7"/>
        <v>300</v>
      </c>
      <c r="J132" s="3">
        <f t="shared" si="7"/>
        <v>360</v>
      </c>
      <c r="K132" s="9">
        <f t="shared" si="7"/>
        <v>480</v>
      </c>
      <c r="L132" s="9"/>
    </row>
    <row r="133" spans="1:12" ht="12.75">
      <c r="A133" s="8"/>
      <c r="B133" s="3"/>
      <c r="C133" s="3"/>
      <c r="D133" s="3"/>
      <c r="E133" s="3"/>
      <c r="F133" s="3"/>
      <c r="G133" s="3"/>
      <c r="H133" s="3"/>
      <c r="I133" s="3"/>
      <c r="J133" s="3"/>
      <c r="K133" s="9"/>
      <c r="L133" s="9"/>
    </row>
    <row r="134" spans="1:12" ht="12.75">
      <c r="A134" s="8" t="s">
        <v>91</v>
      </c>
      <c r="B134" s="3"/>
      <c r="C134" s="3"/>
      <c r="D134" s="3"/>
      <c r="E134" s="3"/>
      <c r="F134" s="12">
        <f aca="true" t="shared" si="8" ref="F134:K134">$I$53+$F$127/F132</f>
        <v>273.65282679728773</v>
      </c>
      <c r="G134" s="12">
        <f t="shared" si="8"/>
        <v>206.84855119819179</v>
      </c>
      <c r="H134" s="12">
        <f t="shared" si="8"/>
        <v>173.44641339864387</v>
      </c>
      <c r="I134" s="12">
        <f t="shared" si="8"/>
        <v>153.40513071891507</v>
      </c>
      <c r="J134" s="12">
        <f t="shared" si="8"/>
        <v>140.0442755990959</v>
      </c>
      <c r="K134" s="21">
        <f t="shared" si="8"/>
        <v>123.34320669932194</v>
      </c>
      <c r="L134" s="9"/>
    </row>
    <row r="135" spans="1:12" ht="13.5" thickBot="1">
      <c r="A135" s="15" t="s">
        <v>81</v>
      </c>
      <c r="B135" s="16"/>
      <c r="C135" s="16"/>
      <c r="D135" s="16"/>
      <c r="E135" s="16"/>
      <c r="F135" s="22">
        <f aca="true" t="shared" si="9" ref="F135:K135">($I$53+$H$60+$H$61)+($F$127+$G$74)/F132</f>
        <v>297.236160130621</v>
      </c>
      <c r="G135" s="22">
        <f t="shared" si="9"/>
        <v>227.65410675374736</v>
      </c>
      <c r="H135" s="22">
        <f t="shared" si="9"/>
        <v>192.8630800653105</v>
      </c>
      <c r="I135" s="22">
        <f t="shared" si="9"/>
        <v>171.98846405224842</v>
      </c>
      <c r="J135" s="22">
        <f t="shared" si="9"/>
        <v>158.07205337687367</v>
      </c>
      <c r="K135" s="23">
        <f t="shared" si="9"/>
        <v>140.67654003265525</v>
      </c>
      <c r="L135" s="9"/>
    </row>
    <row r="136" spans="1:12" ht="13.5" thickBot="1">
      <c r="A136" s="15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7"/>
    </row>
  </sheetData>
  <sheetProtection sheet="1" objects="1" scenarios="1"/>
  <printOptions/>
  <pageMargins left="0.5" right="0.5" top="0.45" bottom="0.25" header="0.31" footer="0.25"/>
  <pageSetup fitToHeight="2" fitToWidth="1" orientation="portrait" scale="76" r:id="rId1"/>
  <rowBreaks count="1" manualBreakCount="1">
    <brk id="7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"/>
  <sheetViews>
    <sheetView workbookViewId="0" topLeftCell="A4">
      <selection activeCell="F33" sqref="F33"/>
    </sheetView>
  </sheetViews>
  <sheetFormatPr defaultColWidth="9.140625" defaultRowHeight="12.75"/>
  <cols>
    <col min="1" max="3" width="3.00390625" style="0" customWidth="1"/>
    <col min="4" max="4" width="27.8515625" style="0" customWidth="1"/>
    <col min="5" max="5" width="11.421875" style="0" customWidth="1"/>
    <col min="6" max="6" width="13.7109375" style="0" bestFit="1" customWidth="1"/>
    <col min="7" max="7" width="14.140625" style="0" customWidth="1"/>
    <col min="8" max="8" width="11.7109375" style="0" customWidth="1"/>
    <col min="9" max="10" width="10.00390625" style="0" customWidth="1"/>
    <col min="11" max="11" width="11.57421875" style="0" customWidth="1"/>
    <col min="12" max="12" width="4.7109375" style="0" customWidth="1"/>
  </cols>
  <sheetData>
    <row r="1" spans="1:12" ht="16.5" thickBot="1">
      <c r="A1" s="38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ht="13.5" thickBot="1"/>
    <row r="3" spans="1:12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9.75" customHeight="1">
      <c r="A4" s="8"/>
      <c r="B4" s="3"/>
      <c r="C4" s="3"/>
      <c r="D4" s="3"/>
      <c r="E4" s="3"/>
      <c r="F4" s="3"/>
      <c r="G4" s="3"/>
      <c r="H4" s="3"/>
      <c r="I4" s="3"/>
      <c r="J4" s="3"/>
      <c r="K4" s="3"/>
      <c r="L4" s="9"/>
    </row>
    <row r="5" spans="1:12" ht="12.75">
      <c r="A5" s="33" t="s">
        <v>14</v>
      </c>
      <c r="B5" s="3"/>
      <c r="C5" s="3"/>
      <c r="D5" s="3"/>
      <c r="E5" s="3"/>
      <c r="F5" s="2" t="s">
        <v>15</v>
      </c>
      <c r="G5" s="2"/>
      <c r="H5" s="2" t="s">
        <v>3</v>
      </c>
      <c r="I5" s="3"/>
      <c r="J5" s="3"/>
      <c r="K5" s="3" t="s">
        <v>24</v>
      </c>
      <c r="L5" s="9"/>
    </row>
    <row r="6" spans="1:12" ht="12.75">
      <c r="A6" s="8"/>
      <c r="B6" s="3"/>
      <c r="C6" s="3"/>
      <c r="D6" s="3"/>
      <c r="E6" s="3"/>
      <c r="F6" s="3"/>
      <c r="G6" s="3"/>
      <c r="H6" s="3"/>
      <c r="I6" s="3"/>
      <c r="J6" s="3"/>
      <c r="K6" s="3"/>
      <c r="L6" s="9"/>
    </row>
    <row r="7" spans="1:12" ht="12.75">
      <c r="A7" s="8" t="s">
        <v>1</v>
      </c>
      <c r="B7" s="3"/>
      <c r="C7" s="3"/>
      <c r="D7" s="3"/>
      <c r="E7" s="3"/>
      <c r="F7" s="12">
        <v>229700</v>
      </c>
      <c r="G7" s="3"/>
      <c r="H7" s="3" t="s">
        <v>21</v>
      </c>
      <c r="I7" s="3"/>
      <c r="J7" s="3"/>
      <c r="K7" s="12">
        <f>F7</f>
        <v>229700</v>
      </c>
      <c r="L7" s="9"/>
    </row>
    <row r="8" spans="1:12" ht="13.5" thickBot="1">
      <c r="A8" s="8" t="s">
        <v>2</v>
      </c>
      <c r="B8" s="3"/>
      <c r="C8" s="3"/>
      <c r="D8" s="3"/>
      <c r="E8" s="3"/>
      <c r="F8" s="12"/>
      <c r="G8" s="3"/>
      <c r="H8" s="3"/>
      <c r="I8" s="3"/>
      <c r="J8" s="3"/>
      <c r="K8" s="12"/>
      <c r="L8" s="9"/>
    </row>
    <row r="9" spans="1:12" ht="12.75">
      <c r="A9" s="8"/>
      <c r="B9" s="3" t="s">
        <v>5</v>
      </c>
      <c r="C9" s="3"/>
      <c r="D9" s="3"/>
      <c r="E9" s="3"/>
      <c r="F9" s="12">
        <v>2950</v>
      </c>
      <c r="G9" s="3"/>
      <c r="H9" s="44" t="s">
        <v>21</v>
      </c>
      <c r="I9" s="3"/>
      <c r="J9" s="3"/>
      <c r="K9" s="12">
        <f>IF(H9="y",F9,0)</f>
        <v>2950</v>
      </c>
      <c r="L9" s="9"/>
    </row>
    <row r="10" spans="1:12" ht="12.75">
      <c r="A10" s="8"/>
      <c r="B10" s="3" t="s">
        <v>6</v>
      </c>
      <c r="C10" s="3"/>
      <c r="D10" s="3"/>
      <c r="E10" s="3"/>
      <c r="F10" s="12">
        <v>21500</v>
      </c>
      <c r="G10" s="3"/>
      <c r="H10" s="45" t="s">
        <v>22</v>
      </c>
      <c r="I10" s="3"/>
      <c r="J10" s="3"/>
      <c r="K10" s="12">
        <f aca="true" t="shared" si="0" ref="K10:K17">IF(H10="y",F10,0)</f>
        <v>0</v>
      </c>
      <c r="L10" s="9"/>
    </row>
    <row r="11" spans="1:12" ht="12.75">
      <c r="A11" s="8"/>
      <c r="B11" s="3" t="s">
        <v>7</v>
      </c>
      <c r="C11" s="3"/>
      <c r="D11" s="3"/>
      <c r="E11" s="3"/>
      <c r="F11" s="12">
        <v>9500</v>
      </c>
      <c r="G11" s="3"/>
      <c r="H11" s="45" t="s">
        <v>22</v>
      </c>
      <c r="I11" s="3"/>
      <c r="J11" s="3"/>
      <c r="K11" s="12">
        <f t="shared" si="0"/>
        <v>0</v>
      </c>
      <c r="L11" s="9"/>
    </row>
    <row r="12" spans="1:12" ht="12.75">
      <c r="A12" s="8"/>
      <c r="B12" s="3" t="s">
        <v>8</v>
      </c>
      <c r="C12" s="3"/>
      <c r="D12" s="3"/>
      <c r="E12" s="3"/>
      <c r="F12" s="12">
        <v>5750</v>
      </c>
      <c r="G12" s="3"/>
      <c r="H12" s="45" t="s">
        <v>21</v>
      </c>
      <c r="I12" s="3"/>
      <c r="J12" s="3"/>
      <c r="K12" s="12">
        <f t="shared" si="0"/>
        <v>5750</v>
      </c>
      <c r="L12" s="9"/>
    </row>
    <row r="13" spans="1:12" ht="12.75">
      <c r="A13" s="8"/>
      <c r="B13" s="3" t="s">
        <v>10</v>
      </c>
      <c r="C13" s="3"/>
      <c r="D13" s="3"/>
      <c r="E13" s="3"/>
      <c r="F13" s="12">
        <v>4245</v>
      </c>
      <c r="G13" s="3"/>
      <c r="H13" s="45" t="s">
        <v>21</v>
      </c>
      <c r="I13" s="3"/>
      <c r="J13" s="3"/>
      <c r="K13" s="12">
        <f t="shared" si="0"/>
        <v>4245</v>
      </c>
      <c r="L13" s="9"/>
    </row>
    <row r="14" spans="1:12" ht="12.75">
      <c r="A14" s="8"/>
      <c r="B14" s="3" t="s">
        <v>9</v>
      </c>
      <c r="C14" s="3"/>
      <c r="D14" s="3"/>
      <c r="E14" s="3"/>
      <c r="F14" s="12">
        <v>17845</v>
      </c>
      <c r="G14" s="3"/>
      <c r="H14" s="45" t="s">
        <v>22</v>
      </c>
      <c r="I14" s="3"/>
      <c r="J14" s="3"/>
      <c r="K14" s="12">
        <f t="shared" si="0"/>
        <v>0</v>
      </c>
      <c r="L14" s="9"/>
    </row>
    <row r="15" spans="1:12" ht="12.75">
      <c r="A15" s="8"/>
      <c r="B15" s="3" t="s">
        <v>11</v>
      </c>
      <c r="C15" s="3"/>
      <c r="D15" s="3"/>
      <c r="E15" s="3"/>
      <c r="F15" s="12">
        <v>3000</v>
      </c>
      <c r="G15" s="3"/>
      <c r="H15" s="45" t="s">
        <v>21</v>
      </c>
      <c r="I15" s="3"/>
      <c r="J15" s="3"/>
      <c r="K15" s="12">
        <f t="shared" si="0"/>
        <v>3000</v>
      </c>
      <c r="L15" s="9"/>
    </row>
    <row r="16" spans="1:12" ht="12.75">
      <c r="A16" s="8"/>
      <c r="B16" s="3" t="s">
        <v>12</v>
      </c>
      <c r="C16" s="3"/>
      <c r="D16" s="3"/>
      <c r="E16" s="3"/>
      <c r="F16" s="12">
        <v>3300</v>
      </c>
      <c r="G16" s="3"/>
      <c r="H16" s="45" t="s">
        <v>21</v>
      </c>
      <c r="I16" s="3"/>
      <c r="J16" s="3"/>
      <c r="K16" s="12">
        <f t="shared" si="0"/>
        <v>3300</v>
      </c>
      <c r="L16" s="9"/>
    </row>
    <row r="17" spans="1:12" ht="13.5" thickBot="1">
      <c r="A17" s="8"/>
      <c r="B17" s="3" t="s">
        <v>13</v>
      </c>
      <c r="C17" s="3"/>
      <c r="D17" s="3"/>
      <c r="E17" s="3"/>
      <c r="F17" s="12">
        <v>4995</v>
      </c>
      <c r="G17" s="3"/>
      <c r="H17" s="46" t="s">
        <v>21</v>
      </c>
      <c r="I17" s="3"/>
      <c r="J17" s="3"/>
      <c r="K17" s="12">
        <f t="shared" si="0"/>
        <v>4995</v>
      </c>
      <c r="L17" s="9"/>
    </row>
    <row r="18" spans="1:12" ht="12.75">
      <c r="A18" s="8"/>
      <c r="B18" s="34" t="s">
        <v>20</v>
      </c>
      <c r="C18" s="3"/>
      <c r="D18" s="3"/>
      <c r="E18" s="3"/>
      <c r="F18" s="11"/>
      <c r="G18" s="3"/>
      <c r="H18" s="3"/>
      <c r="I18" s="3"/>
      <c r="J18" s="3"/>
      <c r="K18" s="3"/>
      <c r="L18" s="9"/>
    </row>
    <row r="19" spans="1:12" ht="12.75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9"/>
    </row>
    <row r="20" spans="1:12" ht="12.75">
      <c r="A20" s="8" t="s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9"/>
    </row>
    <row r="21" spans="1:12" ht="13.5" thickBot="1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9"/>
    </row>
    <row r="22" spans="1:12" ht="12.75">
      <c r="A22" s="8" t="s">
        <v>17</v>
      </c>
      <c r="B22" s="3"/>
      <c r="C22" s="3"/>
      <c r="D22" s="3"/>
      <c r="E22" s="3"/>
      <c r="F22" s="12">
        <v>-10000</v>
      </c>
      <c r="G22" s="3"/>
      <c r="H22" s="44" t="s">
        <v>22</v>
      </c>
      <c r="I22" s="3"/>
      <c r="J22" s="3"/>
      <c r="K22" s="3">
        <f>IF(H22="y",F22,0)</f>
        <v>0</v>
      </c>
      <c r="L22" s="9"/>
    </row>
    <row r="23" spans="1:12" ht="13.5" thickBot="1">
      <c r="A23" s="8" t="s">
        <v>18</v>
      </c>
      <c r="B23" s="3"/>
      <c r="C23" s="3"/>
      <c r="D23" s="3"/>
      <c r="E23" s="3"/>
      <c r="F23" s="35">
        <v>0.029</v>
      </c>
      <c r="G23" s="3"/>
      <c r="H23" s="46" t="s">
        <v>21</v>
      </c>
      <c r="I23" s="3"/>
      <c r="J23" s="3"/>
      <c r="K23" s="3"/>
      <c r="L23" s="9"/>
    </row>
    <row r="24" spans="1:12" ht="12.75">
      <c r="A24" s="8"/>
      <c r="B24" s="36" t="s">
        <v>19</v>
      </c>
      <c r="C24" s="3"/>
      <c r="D24" s="3"/>
      <c r="E24" s="3"/>
      <c r="F24" s="3"/>
      <c r="G24" s="3"/>
      <c r="H24" s="3"/>
      <c r="I24" s="3"/>
      <c r="J24" s="3"/>
      <c r="K24" s="3"/>
      <c r="L24" s="9"/>
    </row>
    <row r="25" spans="1:12" ht="10.5" customHeight="1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9"/>
    </row>
    <row r="26" spans="1:12" ht="12.75">
      <c r="A26" s="10" t="s">
        <v>23</v>
      </c>
      <c r="B26" s="30"/>
      <c r="C26" s="30"/>
      <c r="D26" s="30"/>
      <c r="E26" s="30"/>
      <c r="F26" s="13">
        <f>K26</f>
        <v>253940</v>
      </c>
      <c r="G26" s="12"/>
      <c r="H26" s="12"/>
      <c r="I26" s="12"/>
      <c r="J26" s="12"/>
      <c r="K26" s="12">
        <f>SUM(K7:K22)</f>
        <v>253940</v>
      </c>
      <c r="L26" s="9"/>
    </row>
    <row r="27" spans="1:12" ht="12.75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9"/>
    </row>
    <row r="28" spans="1:12" ht="12.75">
      <c r="A28" s="33" t="s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9"/>
    </row>
    <row r="29" spans="1:12" ht="9" customHeight="1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9"/>
    </row>
    <row r="30" spans="1:12" ht="12.75">
      <c r="A30" s="8" t="s">
        <v>26</v>
      </c>
      <c r="B30" s="3"/>
      <c r="C30" s="3"/>
      <c r="D30" s="3"/>
      <c r="E30" s="3" t="s">
        <v>27</v>
      </c>
      <c r="F30" s="3">
        <v>20</v>
      </c>
      <c r="G30" s="3"/>
      <c r="H30" s="3"/>
      <c r="I30" s="3"/>
      <c r="J30" s="3"/>
      <c r="K30" s="3"/>
      <c r="L30" s="9"/>
    </row>
    <row r="31" spans="1:12" ht="13.5" thickBot="1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9"/>
    </row>
    <row r="32" spans="1:12" ht="13.5" thickBot="1">
      <c r="A32" s="8" t="s">
        <v>28</v>
      </c>
      <c r="B32" s="3"/>
      <c r="C32" s="3"/>
      <c r="D32" s="3"/>
      <c r="E32" s="3" t="s">
        <v>29</v>
      </c>
      <c r="F32" s="47">
        <v>0.15</v>
      </c>
      <c r="G32" s="3"/>
      <c r="H32" s="3"/>
      <c r="I32" s="3"/>
      <c r="J32" s="3"/>
      <c r="K32" s="3"/>
      <c r="L32" s="9"/>
    </row>
    <row r="33" spans="1:12" ht="12.75">
      <c r="A33" s="8" t="s">
        <v>38</v>
      </c>
      <c r="B33" s="3"/>
      <c r="C33" s="3"/>
      <c r="D33" s="3"/>
      <c r="E33" s="3" t="s">
        <v>39</v>
      </c>
      <c r="F33" s="12">
        <f>F32*F26</f>
        <v>38091</v>
      </c>
      <c r="G33" s="3"/>
      <c r="H33" s="3"/>
      <c r="I33" s="3"/>
      <c r="J33" s="3"/>
      <c r="K33" s="3"/>
      <c r="L33" s="9"/>
    </row>
    <row r="34" spans="1:12" ht="12.75">
      <c r="A34" s="8" t="s">
        <v>40</v>
      </c>
      <c r="B34" s="3"/>
      <c r="C34" s="3"/>
      <c r="D34" s="3"/>
      <c r="E34" s="3"/>
      <c r="F34" s="12">
        <f>F26-F33</f>
        <v>215849</v>
      </c>
      <c r="G34" s="3"/>
      <c r="H34" s="3"/>
      <c r="I34" s="3"/>
      <c r="J34" s="3"/>
      <c r="K34" s="3"/>
      <c r="L34" s="9"/>
    </row>
    <row r="35" spans="1:12" ht="12.75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9"/>
    </row>
    <row r="36" spans="1:12" ht="12.75">
      <c r="A36" s="8" t="s">
        <v>33</v>
      </c>
      <c r="B36" s="3"/>
      <c r="C36" s="3"/>
      <c r="D36" s="3"/>
      <c r="E36" s="3"/>
      <c r="F36" s="35">
        <f>IF(F32&gt;=20%,F40,F41)</f>
        <v>0.0595</v>
      </c>
      <c r="G36" s="3"/>
      <c r="H36" s="3"/>
      <c r="I36" s="3"/>
      <c r="J36" s="3"/>
      <c r="K36" s="3"/>
      <c r="L36" s="9"/>
    </row>
    <row r="37" spans="1:12" ht="12.75">
      <c r="A37" s="8" t="s">
        <v>34</v>
      </c>
      <c r="B37" s="3"/>
      <c r="C37" s="3"/>
      <c r="D37" s="3"/>
      <c r="E37" s="3"/>
      <c r="F37" s="35">
        <f>IF(H23="y",2.9%,F36)</f>
        <v>0.028999999999999998</v>
      </c>
      <c r="G37" s="3"/>
      <c r="H37" s="3"/>
      <c r="I37" s="3"/>
      <c r="J37" s="3"/>
      <c r="K37" s="3"/>
      <c r="L37" s="9"/>
    </row>
    <row r="38" spans="1:12" ht="12.75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9"/>
    </row>
    <row r="39" spans="1:12" ht="12.75">
      <c r="A39" s="8" t="s">
        <v>30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9"/>
    </row>
    <row r="40" spans="1:12" ht="12.75">
      <c r="A40" s="8"/>
      <c r="B40" s="37" t="s">
        <v>31</v>
      </c>
      <c r="C40" s="3"/>
      <c r="D40" s="3"/>
      <c r="E40" s="3"/>
      <c r="F40" s="35">
        <v>0.0585</v>
      </c>
      <c r="G40" s="3"/>
      <c r="H40" s="3"/>
      <c r="I40" s="3"/>
      <c r="J40" s="3"/>
      <c r="K40" s="3"/>
      <c r="L40" s="9"/>
    </row>
    <row r="41" spans="1:12" ht="12.75">
      <c r="A41" s="8"/>
      <c r="B41" s="37" t="s">
        <v>32</v>
      </c>
      <c r="C41" s="3"/>
      <c r="D41" s="3"/>
      <c r="E41" s="3"/>
      <c r="F41" s="35">
        <v>0.0595</v>
      </c>
      <c r="G41" s="3"/>
      <c r="H41" s="3"/>
      <c r="I41" s="3"/>
      <c r="J41" s="3"/>
      <c r="K41" s="3"/>
      <c r="L41" s="9"/>
    </row>
    <row r="42" spans="1:12" ht="12.75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9"/>
    </row>
    <row r="43" spans="1:12" ht="12.75">
      <c r="A43" s="10" t="s">
        <v>35</v>
      </c>
      <c r="B43" s="30"/>
      <c r="C43" s="30"/>
      <c r="D43" s="30"/>
      <c r="E43" s="30"/>
      <c r="F43" s="30" t="s">
        <v>79</v>
      </c>
      <c r="G43" s="30" t="s">
        <v>80</v>
      </c>
      <c r="H43" s="3"/>
      <c r="I43" s="3"/>
      <c r="J43" s="3"/>
      <c r="K43" s="3"/>
      <c r="L43" s="9"/>
    </row>
    <row r="44" spans="1:12" ht="12.75">
      <c r="A44" s="10"/>
      <c r="B44" s="30" t="s">
        <v>36</v>
      </c>
      <c r="C44" s="30"/>
      <c r="D44" s="30"/>
      <c r="E44" s="30"/>
      <c r="F44" s="13">
        <f>PMT(F37/12,F30*12,F34)</f>
        <v>-1186.3168936842744</v>
      </c>
      <c r="G44" s="13">
        <f>F44*12</f>
        <v>-14235.802724211293</v>
      </c>
      <c r="H44" s="3"/>
      <c r="I44" s="3"/>
      <c r="J44" s="3"/>
      <c r="K44" s="3"/>
      <c r="L44" s="9"/>
    </row>
    <row r="45" spans="1:12" ht="12.75">
      <c r="A45" s="10"/>
      <c r="B45" s="30" t="s">
        <v>37</v>
      </c>
      <c r="C45" s="30"/>
      <c r="D45" s="30"/>
      <c r="E45" s="30"/>
      <c r="F45" s="13">
        <f>PMT(F36/12,F30*12,F34)</f>
        <v>-1540.1895119930518</v>
      </c>
      <c r="G45" s="13">
        <f>F45*12</f>
        <v>-18482.27414391662</v>
      </c>
      <c r="H45" s="3"/>
      <c r="I45" s="3"/>
      <c r="J45" s="3"/>
      <c r="K45" s="3"/>
      <c r="L45" s="9"/>
    </row>
    <row r="46" spans="1:12" ht="13.5" thickBo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</row>
    <row r="47" ht="7.5" customHeight="1"/>
    <row r="48" ht="7.5" customHeight="1" thickBot="1"/>
    <row r="49" spans="1:12" ht="15.75">
      <c r="A49" s="5" t="s">
        <v>41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</row>
    <row r="50" spans="1:12" ht="12.75">
      <c r="A50" s="8"/>
      <c r="B50" s="3"/>
      <c r="C50" s="3"/>
      <c r="D50" s="3"/>
      <c r="E50" s="3"/>
      <c r="F50" s="3"/>
      <c r="G50" s="3"/>
      <c r="H50" s="3"/>
      <c r="I50" s="3"/>
      <c r="J50" s="3"/>
      <c r="K50" s="3"/>
      <c r="L50" s="9"/>
    </row>
    <row r="51" spans="1:12" ht="12.75">
      <c r="A51" s="10" t="s">
        <v>42</v>
      </c>
      <c r="B51" s="3"/>
      <c r="C51" s="3"/>
      <c r="D51" s="3"/>
      <c r="E51" s="3"/>
      <c r="F51" s="2" t="s">
        <v>43</v>
      </c>
      <c r="G51" s="2" t="s">
        <v>44</v>
      </c>
      <c r="H51" s="2" t="s">
        <v>45</v>
      </c>
      <c r="I51" s="3"/>
      <c r="J51" s="3"/>
      <c r="K51" s="3"/>
      <c r="L51" s="9"/>
    </row>
    <row r="52" spans="1:12" ht="12.7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9"/>
    </row>
    <row r="53" spans="1:12" s="4" customFormat="1" ht="13.5" thickBot="1">
      <c r="A53" s="10" t="s">
        <v>62</v>
      </c>
      <c r="B53" s="29"/>
      <c r="C53" s="29"/>
      <c r="D53" s="29"/>
      <c r="E53" s="29"/>
      <c r="F53" s="29"/>
      <c r="G53" s="29"/>
      <c r="H53" s="30">
        <f>SUM(H54:H58)</f>
        <v>50.55</v>
      </c>
      <c r="I53" s="30">
        <f>H53+I58/G58</f>
        <v>54.55</v>
      </c>
      <c r="J53" s="29"/>
      <c r="K53" s="29"/>
      <c r="L53" s="31"/>
    </row>
    <row r="54" spans="1:12" ht="13.5" thickBot="1">
      <c r="A54" s="8" t="s">
        <v>47</v>
      </c>
      <c r="B54" s="3" t="s">
        <v>48</v>
      </c>
      <c r="C54" s="3"/>
      <c r="D54" s="3"/>
      <c r="E54" s="3"/>
      <c r="F54" s="48">
        <v>1500</v>
      </c>
      <c r="G54" s="3">
        <v>100</v>
      </c>
      <c r="H54" s="3">
        <f>F54/G54</f>
        <v>15</v>
      </c>
      <c r="I54" s="3"/>
      <c r="J54" s="3"/>
      <c r="K54" s="3"/>
      <c r="L54" s="9"/>
    </row>
    <row r="55" spans="1:12" ht="13.5" thickBot="1">
      <c r="A55" s="8" t="s">
        <v>47</v>
      </c>
      <c r="B55" s="3" t="s">
        <v>49</v>
      </c>
      <c r="C55" s="3"/>
      <c r="D55" s="3"/>
      <c r="E55" s="3"/>
      <c r="F55" s="48">
        <v>200</v>
      </c>
      <c r="G55" s="3">
        <v>100</v>
      </c>
      <c r="H55" s="3">
        <f>F55/G55</f>
        <v>2</v>
      </c>
      <c r="I55" s="3"/>
      <c r="J55" s="3"/>
      <c r="K55" s="3"/>
      <c r="L55" s="9"/>
    </row>
    <row r="56" spans="1:12" ht="13.5" thickBot="1">
      <c r="A56" s="14" t="s">
        <v>47</v>
      </c>
      <c r="B56" s="3" t="s">
        <v>50</v>
      </c>
      <c r="C56" s="3"/>
      <c r="D56" s="3"/>
      <c r="E56" s="3"/>
      <c r="F56" s="43">
        <v>2.65</v>
      </c>
      <c r="G56" s="50">
        <v>11</v>
      </c>
      <c r="H56" s="3">
        <f>G56*F56</f>
        <v>29.15</v>
      </c>
      <c r="I56" s="3"/>
      <c r="J56" s="3"/>
      <c r="K56" s="3"/>
      <c r="L56" s="9"/>
    </row>
    <row r="57" spans="1:12" ht="13.5" thickBot="1">
      <c r="A57" s="8" t="s">
        <v>47</v>
      </c>
      <c r="B57" s="3" t="s">
        <v>51</v>
      </c>
      <c r="C57" s="3"/>
      <c r="D57" s="3"/>
      <c r="E57" s="3"/>
      <c r="F57" s="48">
        <v>4</v>
      </c>
      <c r="G57" s="3">
        <v>10</v>
      </c>
      <c r="H57" s="3">
        <f>F57/G57</f>
        <v>0.4</v>
      </c>
      <c r="I57" s="3"/>
      <c r="J57" s="3"/>
      <c r="K57" s="3"/>
      <c r="L57" s="9"/>
    </row>
    <row r="58" spans="1:12" ht="13.5" thickBot="1">
      <c r="A58" s="8" t="s">
        <v>47</v>
      </c>
      <c r="B58" s="3" t="s">
        <v>52</v>
      </c>
      <c r="C58" s="3"/>
      <c r="D58" s="3"/>
      <c r="E58" s="3"/>
      <c r="F58" s="48">
        <v>400</v>
      </c>
      <c r="G58" s="3">
        <v>100</v>
      </c>
      <c r="H58" s="3">
        <f>F58/G58</f>
        <v>4</v>
      </c>
      <c r="I58" s="48">
        <v>400</v>
      </c>
      <c r="J58" s="3" t="s">
        <v>104</v>
      </c>
      <c r="K58" s="3"/>
      <c r="L58" s="9"/>
    </row>
    <row r="59" spans="1:12" ht="13.5" thickBot="1">
      <c r="A59" s="8"/>
      <c r="B59" s="3"/>
      <c r="C59" s="3"/>
      <c r="D59" s="3"/>
      <c r="E59" s="3"/>
      <c r="F59" s="12"/>
      <c r="G59" s="3"/>
      <c r="H59" s="3"/>
      <c r="I59" s="3"/>
      <c r="J59" s="3"/>
      <c r="K59" s="3"/>
      <c r="L59" s="9"/>
    </row>
    <row r="60" spans="1:12" ht="13.5" thickBot="1">
      <c r="A60" s="10" t="s">
        <v>105</v>
      </c>
      <c r="B60" s="3"/>
      <c r="C60" s="3"/>
      <c r="D60" s="3"/>
      <c r="E60" s="3"/>
      <c r="F60" s="48">
        <v>25000</v>
      </c>
      <c r="G60" s="3">
        <v>2000</v>
      </c>
      <c r="H60" s="30">
        <f>F60/2000</f>
        <v>12.5</v>
      </c>
      <c r="I60" s="3"/>
      <c r="J60" s="3"/>
      <c r="K60" s="3"/>
      <c r="L60" s="9"/>
    </row>
    <row r="61" spans="1:12" ht="13.5" thickBot="1">
      <c r="A61" s="10" t="s">
        <v>107</v>
      </c>
      <c r="B61" s="3"/>
      <c r="C61" s="3"/>
      <c r="D61" s="3"/>
      <c r="E61" s="3"/>
      <c r="F61" s="48">
        <v>3000</v>
      </c>
      <c r="G61" s="41">
        <v>2400</v>
      </c>
      <c r="H61" s="54">
        <f>F61/G61</f>
        <v>1.25</v>
      </c>
      <c r="I61" s="3"/>
      <c r="J61" s="3"/>
      <c r="K61" s="3"/>
      <c r="L61" s="9"/>
    </row>
    <row r="62" spans="1:12" ht="13.5" thickBot="1">
      <c r="A62" s="27"/>
      <c r="B62" s="16"/>
      <c r="C62" s="16"/>
      <c r="D62" s="16"/>
      <c r="E62" s="16"/>
      <c r="F62" s="22"/>
      <c r="G62" s="16"/>
      <c r="H62" s="32"/>
      <c r="I62" s="16"/>
      <c r="J62" s="16"/>
      <c r="K62" s="16"/>
      <c r="L62" s="17"/>
    </row>
    <row r="63" ht="13.5" thickBot="1"/>
    <row r="64" spans="1:12" ht="15.75">
      <c r="A64" s="5" t="s">
        <v>61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</row>
    <row r="65" spans="1:12" ht="12.75">
      <c r="A65" s="8"/>
      <c r="B65" s="3"/>
      <c r="C65" s="3"/>
      <c r="D65" s="3"/>
      <c r="E65" s="3"/>
      <c r="F65" s="3"/>
      <c r="G65" s="3"/>
      <c r="H65" s="3"/>
      <c r="I65" s="3"/>
      <c r="J65" s="3"/>
      <c r="K65" s="3"/>
      <c r="L65" s="9"/>
    </row>
    <row r="66" spans="1:12" ht="12.75">
      <c r="A66" s="10" t="s">
        <v>53</v>
      </c>
      <c r="B66" s="3"/>
      <c r="C66" s="3"/>
      <c r="D66" s="3"/>
      <c r="E66" s="3"/>
      <c r="F66" s="11"/>
      <c r="G66" s="2" t="s">
        <v>54</v>
      </c>
      <c r="H66" s="2" t="s">
        <v>55</v>
      </c>
      <c r="I66" s="3"/>
      <c r="J66" s="3"/>
      <c r="K66" s="3"/>
      <c r="L66" s="9"/>
    </row>
    <row r="67" spans="1:12" ht="12.75">
      <c r="A67" s="10"/>
      <c r="B67" s="3"/>
      <c r="C67" s="3"/>
      <c r="D67" s="3"/>
      <c r="E67" s="3"/>
      <c r="F67" s="11"/>
      <c r="G67" s="3"/>
      <c r="H67" s="3"/>
      <c r="I67" s="3"/>
      <c r="J67" s="3"/>
      <c r="K67" s="3"/>
      <c r="L67" s="9"/>
    </row>
    <row r="68" spans="1:12" ht="13.5" thickBot="1">
      <c r="A68" s="10" t="s">
        <v>46</v>
      </c>
      <c r="B68" s="3"/>
      <c r="C68" s="3"/>
      <c r="D68" s="3"/>
      <c r="E68" s="3"/>
      <c r="F68" s="11"/>
      <c r="G68" s="13">
        <f>SUM(G69:G72)</f>
        <v>7021</v>
      </c>
      <c r="H68" s="26">
        <f>SUM(H69:H72)</f>
        <v>585.0833333333334</v>
      </c>
      <c r="I68" s="3"/>
      <c r="J68" s="3"/>
      <c r="K68" s="3"/>
      <c r="L68" s="9"/>
    </row>
    <row r="69" spans="1:12" ht="13.5" thickBot="1">
      <c r="A69" s="8" t="s">
        <v>47</v>
      </c>
      <c r="B69" s="3" t="s">
        <v>56</v>
      </c>
      <c r="C69" s="3"/>
      <c r="D69" s="3"/>
      <c r="E69" s="3"/>
      <c r="F69" s="3"/>
      <c r="G69" s="48">
        <v>5780</v>
      </c>
      <c r="H69" s="12">
        <f>G69/12</f>
        <v>481.6666666666667</v>
      </c>
      <c r="I69" s="48">
        <v>1000</v>
      </c>
      <c r="J69" s="3" t="s">
        <v>103</v>
      </c>
      <c r="K69" s="3"/>
      <c r="L69" s="9"/>
    </row>
    <row r="70" spans="1:12" ht="13.5" thickBot="1">
      <c r="A70" s="8" t="s">
        <v>47</v>
      </c>
      <c r="B70" s="3" t="s">
        <v>57</v>
      </c>
      <c r="C70" s="3"/>
      <c r="D70" s="3"/>
      <c r="E70" s="3"/>
      <c r="F70" s="3"/>
      <c r="G70" s="12">
        <f>H70*12</f>
        <v>576</v>
      </c>
      <c r="H70" s="48">
        <v>48</v>
      </c>
      <c r="I70" s="3"/>
      <c r="J70" s="3"/>
      <c r="K70" s="3"/>
      <c r="L70" s="9"/>
    </row>
    <row r="71" spans="1:12" ht="13.5" thickBot="1">
      <c r="A71" s="8" t="s">
        <v>47</v>
      </c>
      <c r="B71" s="3" t="s">
        <v>58</v>
      </c>
      <c r="C71" s="3"/>
      <c r="D71" s="3"/>
      <c r="E71" s="3"/>
      <c r="F71" s="3"/>
      <c r="G71" s="48">
        <v>665</v>
      </c>
      <c r="H71" s="12">
        <f>G71/12</f>
        <v>55.416666666666664</v>
      </c>
      <c r="I71" s="3"/>
      <c r="J71" s="3"/>
      <c r="K71" s="3"/>
      <c r="L71" s="9"/>
    </row>
    <row r="72" spans="1:12" ht="13.5" thickBot="1">
      <c r="A72" s="14" t="s">
        <v>59</v>
      </c>
      <c r="B72" s="3" t="s">
        <v>60</v>
      </c>
      <c r="C72" s="3"/>
      <c r="D72" s="3"/>
      <c r="E72" s="3"/>
      <c r="F72" s="53">
        <v>0</v>
      </c>
      <c r="G72" s="12">
        <f>F72*F26</f>
        <v>0</v>
      </c>
      <c r="H72" s="12">
        <f>G72/12</f>
        <v>0</v>
      </c>
      <c r="I72" s="3"/>
      <c r="J72" s="3"/>
      <c r="K72" s="3"/>
      <c r="L72" s="9"/>
    </row>
    <row r="73" spans="1:12" ht="13.5" thickBot="1">
      <c r="A73" s="14"/>
      <c r="B73" s="3"/>
      <c r="C73" s="3"/>
      <c r="D73" s="3"/>
      <c r="E73" s="3"/>
      <c r="F73" s="3"/>
      <c r="G73" s="12"/>
      <c r="H73" s="12"/>
      <c r="I73" s="3"/>
      <c r="J73" s="3"/>
      <c r="K73" s="3"/>
      <c r="L73" s="9"/>
    </row>
    <row r="74" spans="1:12" ht="13.5" thickBot="1">
      <c r="A74" s="55" t="s">
        <v>106</v>
      </c>
      <c r="C74" s="3"/>
      <c r="D74" s="3"/>
      <c r="E74" s="3"/>
      <c r="F74" s="3"/>
      <c r="G74" s="48">
        <v>1000</v>
      </c>
      <c r="H74" s="12"/>
      <c r="I74" s="3"/>
      <c r="J74" s="3"/>
      <c r="K74" s="3"/>
      <c r="L74" s="9"/>
    </row>
    <row r="75" spans="1:12" ht="13.5" thickBot="1">
      <c r="A75" s="15"/>
      <c r="B75" s="16"/>
      <c r="C75" s="16"/>
      <c r="D75" s="16"/>
      <c r="E75" s="16"/>
      <c r="F75" s="16"/>
      <c r="G75" s="16"/>
      <c r="H75" s="51"/>
      <c r="I75" s="16"/>
      <c r="J75" s="16"/>
      <c r="K75" s="16"/>
      <c r="L75" s="17"/>
    </row>
    <row r="76" ht="13.5" thickBot="1"/>
    <row r="77" spans="1:12" ht="15.75">
      <c r="A77" s="5" t="s">
        <v>63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7"/>
    </row>
    <row r="78" spans="1:12" ht="13.5" thickBot="1">
      <c r="A78" s="8"/>
      <c r="B78" s="3"/>
      <c r="C78" s="3"/>
      <c r="D78" s="3"/>
      <c r="E78" s="3"/>
      <c r="F78" s="3"/>
      <c r="G78" s="3"/>
      <c r="H78" s="3"/>
      <c r="I78" s="3"/>
      <c r="J78" s="3"/>
      <c r="K78" s="3"/>
      <c r="L78" s="9"/>
    </row>
    <row r="79" spans="1:12" ht="13.5" thickBot="1">
      <c r="A79" s="8" t="s">
        <v>64</v>
      </c>
      <c r="B79" s="3"/>
      <c r="C79" s="3"/>
      <c r="D79" s="3"/>
      <c r="E79" s="3"/>
      <c r="F79" s="3"/>
      <c r="G79" s="50" t="s">
        <v>21</v>
      </c>
      <c r="H79" s="3" t="s">
        <v>65</v>
      </c>
      <c r="I79" s="3"/>
      <c r="J79" s="3"/>
      <c r="K79" s="3"/>
      <c r="L79" s="9"/>
    </row>
    <row r="80" spans="1:12" ht="12.75">
      <c r="A80" s="8"/>
      <c r="B80" s="3"/>
      <c r="C80" s="3"/>
      <c r="D80" s="3"/>
      <c r="E80" s="3"/>
      <c r="F80" s="3"/>
      <c r="G80" s="3"/>
      <c r="H80" s="3"/>
      <c r="I80" s="3"/>
      <c r="J80" s="3"/>
      <c r="K80" s="3"/>
      <c r="L80" s="9"/>
    </row>
    <row r="81" spans="1:12" ht="13.5" thickBot="1">
      <c r="A81" s="8" t="s">
        <v>66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9"/>
    </row>
    <row r="82" spans="1:12" ht="13.5" thickBot="1">
      <c r="A82" s="14" t="s">
        <v>47</v>
      </c>
      <c r="B82" s="3" t="s">
        <v>67</v>
      </c>
      <c r="C82" s="3"/>
      <c r="D82" s="3"/>
      <c r="E82" s="3"/>
      <c r="F82" s="1">
        <v>0.5</v>
      </c>
      <c r="G82" s="50" t="s">
        <v>21</v>
      </c>
      <c r="H82" s="3" t="s">
        <v>65</v>
      </c>
      <c r="I82" s="3"/>
      <c r="J82" s="3"/>
      <c r="K82" s="12">
        <f>IF(G82="y",(F26-K83)*F82,0)</f>
        <v>76970</v>
      </c>
      <c r="L82" s="9"/>
    </row>
    <row r="83" spans="1:12" ht="13.5" thickBot="1">
      <c r="A83" s="14" t="s">
        <v>59</v>
      </c>
      <c r="B83" s="3" t="s">
        <v>68</v>
      </c>
      <c r="C83" s="3"/>
      <c r="D83" s="3"/>
      <c r="E83" s="3"/>
      <c r="F83" s="12">
        <v>100000</v>
      </c>
      <c r="G83" s="50" t="s">
        <v>21</v>
      </c>
      <c r="H83" s="3" t="s">
        <v>65</v>
      </c>
      <c r="I83" s="3"/>
      <c r="J83" s="3"/>
      <c r="K83" s="12">
        <f>F83</f>
        <v>100000</v>
      </c>
      <c r="L83" s="9"/>
    </row>
    <row r="84" spans="1:12" ht="13.5" thickBot="1">
      <c r="A84" s="14" t="s">
        <v>47</v>
      </c>
      <c r="B84" s="3" t="s">
        <v>69</v>
      </c>
      <c r="C84" s="3"/>
      <c r="D84" s="3"/>
      <c r="E84" s="3"/>
      <c r="F84" s="24">
        <f>IF(G84&gt;0,G84*0.05,0)</f>
        <v>0.2</v>
      </c>
      <c r="G84" s="50">
        <v>4</v>
      </c>
      <c r="H84" s="3" t="s">
        <v>70</v>
      </c>
      <c r="I84" s="3"/>
      <c r="J84" s="3"/>
      <c r="K84" s="12">
        <f>F84*(F26-K83-K82)</f>
        <v>15394</v>
      </c>
      <c r="L84" s="9"/>
    </row>
    <row r="85" spans="1:12" ht="12.75">
      <c r="A85" s="8"/>
      <c r="B85" s="3"/>
      <c r="C85" s="3"/>
      <c r="D85" s="3"/>
      <c r="E85" s="3"/>
      <c r="F85" s="3"/>
      <c r="G85" s="3"/>
      <c r="H85" s="3"/>
      <c r="I85" s="3"/>
      <c r="J85" s="3"/>
      <c r="K85" s="3"/>
      <c r="L85" s="9"/>
    </row>
    <row r="86" spans="1:12" ht="12.75">
      <c r="A86" s="10" t="s">
        <v>86</v>
      </c>
      <c r="B86" s="3"/>
      <c r="C86" s="3"/>
      <c r="D86" s="3"/>
      <c r="E86" s="3"/>
      <c r="F86" s="13">
        <f>IF(G79="y",SUM(K82:K84),0)</f>
        <v>192364</v>
      </c>
      <c r="G86" s="24">
        <f>F86/F26</f>
        <v>0.7575175238245255</v>
      </c>
      <c r="H86" s="3"/>
      <c r="I86" s="3"/>
      <c r="J86" s="3"/>
      <c r="K86" s="3"/>
      <c r="L86" s="9"/>
    </row>
    <row r="87" spans="1:12" ht="12.75">
      <c r="A87" s="10"/>
      <c r="B87" s="3"/>
      <c r="C87" s="3"/>
      <c r="D87" s="3"/>
      <c r="E87" s="3"/>
      <c r="F87" s="13"/>
      <c r="G87" s="24"/>
      <c r="H87" s="3"/>
      <c r="I87" s="3"/>
      <c r="J87" s="3"/>
      <c r="K87" s="3"/>
      <c r="L87" s="9"/>
    </row>
    <row r="88" spans="1:12" ht="12.75">
      <c r="A88" s="25" t="s">
        <v>88</v>
      </c>
      <c r="B88" s="3"/>
      <c r="C88" s="3"/>
      <c r="D88" s="3"/>
      <c r="E88" s="3"/>
      <c r="F88" s="26">
        <f>F26-F86</f>
        <v>61576</v>
      </c>
      <c r="G88" s="24"/>
      <c r="H88" s="3"/>
      <c r="I88" s="3"/>
      <c r="J88" s="3"/>
      <c r="K88" s="3"/>
      <c r="L88" s="9"/>
    </row>
    <row r="89" spans="1:12" ht="12.75">
      <c r="A89" s="25" t="s">
        <v>87</v>
      </c>
      <c r="B89" s="3"/>
      <c r="C89" s="3"/>
      <c r="D89" s="3"/>
      <c r="E89" s="3"/>
      <c r="F89" s="26">
        <f>IF(G79="y",F88/(20-G84)*4,0)</f>
        <v>15394</v>
      </c>
      <c r="G89" s="24"/>
      <c r="H89" s="3"/>
      <c r="I89" s="3"/>
      <c r="J89" s="3"/>
      <c r="K89" s="3"/>
      <c r="L89" s="9"/>
    </row>
    <row r="90" spans="1:12" ht="13.5" thickBot="1">
      <c r="A90" s="8"/>
      <c r="B90" s="3"/>
      <c r="C90" s="3"/>
      <c r="D90" s="3"/>
      <c r="E90" s="3"/>
      <c r="F90" s="3"/>
      <c r="G90" s="3"/>
      <c r="H90" s="3"/>
      <c r="I90" s="3"/>
      <c r="J90" s="3"/>
      <c r="K90" s="3"/>
      <c r="L90" s="9"/>
    </row>
    <row r="91" spans="1:12" ht="13.5" thickBot="1">
      <c r="A91" s="8" t="s">
        <v>71</v>
      </c>
      <c r="B91" s="3"/>
      <c r="C91" s="3"/>
      <c r="D91" s="3"/>
      <c r="E91" s="3"/>
      <c r="F91" s="3"/>
      <c r="G91" s="47">
        <v>0.35</v>
      </c>
      <c r="H91" s="3" t="s">
        <v>72</v>
      </c>
      <c r="I91" s="3"/>
      <c r="J91" s="3"/>
      <c r="K91" s="3"/>
      <c r="L91" s="9"/>
    </row>
    <row r="92" spans="1:12" ht="12.75">
      <c r="A92" s="8"/>
      <c r="B92" s="3"/>
      <c r="C92" s="3"/>
      <c r="D92" s="3"/>
      <c r="E92" s="3"/>
      <c r="F92" s="3"/>
      <c r="G92" s="3"/>
      <c r="H92" s="3"/>
      <c r="I92" s="3"/>
      <c r="J92" s="3"/>
      <c r="K92" s="3"/>
      <c r="L92" s="9"/>
    </row>
    <row r="93" spans="1:12" ht="12.75">
      <c r="A93" s="10" t="s">
        <v>89</v>
      </c>
      <c r="B93" s="3"/>
      <c r="C93" s="3"/>
      <c r="D93" s="3"/>
      <c r="E93" s="3"/>
      <c r="F93" s="13">
        <f>F86*G91</f>
        <v>67327.4</v>
      </c>
      <c r="G93" s="3"/>
      <c r="H93" s="3"/>
      <c r="I93" s="3"/>
      <c r="J93" s="3"/>
      <c r="K93" s="3"/>
      <c r="L93" s="9"/>
    </row>
    <row r="94" spans="1:12" ht="12.75">
      <c r="A94" s="10" t="s">
        <v>90</v>
      </c>
      <c r="B94" s="3"/>
      <c r="C94" s="3"/>
      <c r="D94" s="3"/>
      <c r="E94" s="3"/>
      <c r="F94" s="13">
        <f>F89*G91</f>
        <v>5387.9</v>
      </c>
      <c r="G94" s="3"/>
      <c r="H94" s="3"/>
      <c r="I94" s="3"/>
      <c r="J94" s="3"/>
      <c r="K94" s="3"/>
      <c r="L94" s="9"/>
    </row>
    <row r="95" spans="1:12" ht="13.5" thickBot="1">
      <c r="A95" s="27"/>
      <c r="B95" s="16"/>
      <c r="C95" s="16"/>
      <c r="D95" s="16"/>
      <c r="E95" s="16"/>
      <c r="F95" s="28"/>
      <c r="G95" s="16"/>
      <c r="H95" s="16"/>
      <c r="I95" s="16"/>
      <c r="J95" s="16"/>
      <c r="K95" s="16"/>
      <c r="L95" s="17"/>
    </row>
    <row r="96" ht="13.5" thickBot="1"/>
    <row r="97" spans="1:12" ht="15.75">
      <c r="A97" s="5" t="s">
        <v>74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7"/>
    </row>
    <row r="98" spans="1:12" ht="13.5" thickBot="1">
      <c r="A98" s="8"/>
      <c r="B98" s="3"/>
      <c r="C98" s="3"/>
      <c r="D98" s="3"/>
      <c r="E98" s="3"/>
      <c r="F98" s="3"/>
      <c r="G98" s="3"/>
      <c r="H98" s="3"/>
      <c r="I98" s="3"/>
      <c r="J98" s="3"/>
      <c r="K98" s="3"/>
      <c r="L98" s="9"/>
    </row>
    <row r="99" spans="1:12" ht="12.75">
      <c r="A99" s="18" t="s">
        <v>75</v>
      </c>
      <c r="B99" s="6"/>
      <c r="C99" s="6"/>
      <c r="D99" s="6"/>
      <c r="E99" s="6"/>
      <c r="F99" s="6"/>
      <c r="G99" s="6"/>
      <c r="H99" s="6"/>
      <c r="I99" s="6"/>
      <c r="J99" s="6"/>
      <c r="K99" s="7"/>
      <c r="L99" s="9"/>
    </row>
    <row r="100" spans="1:12" ht="12.75">
      <c r="A100" s="10"/>
      <c r="B100" s="3"/>
      <c r="C100" s="3"/>
      <c r="D100" s="3"/>
      <c r="E100" s="3"/>
      <c r="F100" s="3"/>
      <c r="G100" s="3"/>
      <c r="H100" s="3"/>
      <c r="I100" s="3"/>
      <c r="J100" s="3"/>
      <c r="K100" s="9"/>
      <c r="L100" s="9"/>
    </row>
    <row r="101" spans="1:12" ht="13.5" thickBot="1">
      <c r="A101" s="10" t="s">
        <v>82</v>
      </c>
      <c r="B101" s="3"/>
      <c r="C101" s="3"/>
      <c r="D101" s="3"/>
      <c r="E101" s="3"/>
      <c r="F101" s="19">
        <f>-G44+G68-F93</f>
        <v>-46070.5972757887</v>
      </c>
      <c r="G101" s="3" t="s">
        <v>73</v>
      </c>
      <c r="H101" s="3"/>
      <c r="I101" s="3"/>
      <c r="J101" s="3"/>
      <c r="K101" s="9"/>
      <c r="L101" s="9"/>
    </row>
    <row r="102" spans="1:12" ht="13.5" thickBot="1">
      <c r="A102" s="10" t="s">
        <v>83</v>
      </c>
      <c r="B102" s="3"/>
      <c r="C102" s="3"/>
      <c r="D102" s="3"/>
      <c r="E102" s="3"/>
      <c r="F102" s="19">
        <f>F101+F33/H102</f>
        <v>-7979.597275788699</v>
      </c>
      <c r="G102" s="3" t="s">
        <v>84</v>
      </c>
      <c r="H102" s="50">
        <v>1</v>
      </c>
      <c r="I102" s="3" t="s">
        <v>27</v>
      </c>
      <c r="J102" s="3"/>
      <c r="K102" s="9"/>
      <c r="L102" s="9"/>
    </row>
    <row r="103" spans="1:12" ht="12.75">
      <c r="A103" s="8"/>
      <c r="B103" s="3"/>
      <c r="C103" s="3"/>
      <c r="D103" s="3"/>
      <c r="E103" s="3"/>
      <c r="F103" s="3"/>
      <c r="G103" s="3"/>
      <c r="H103" s="3"/>
      <c r="I103" s="3"/>
      <c r="J103" s="3"/>
      <c r="K103" s="9"/>
      <c r="L103" s="9"/>
    </row>
    <row r="104" spans="1:12" ht="12.75">
      <c r="A104" s="10" t="s">
        <v>76</v>
      </c>
      <c r="B104" s="3"/>
      <c r="C104" s="3"/>
      <c r="D104" s="3"/>
      <c r="E104" s="3"/>
      <c r="F104" s="3"/>
      <c r="G104" s="3"/>
      <c r="H104" s="3"/>
      <c r="I104" s="3"/>
      <c r="J104" s="3"/>
      <c r="K104" s="9"/>
      <c r="L104" s="9"/>
    </row>
    <row r="105" spans="1:12" ht="12.75">
      <c r="A105" s="8" t="s">
        <v>77</v>
      </c>
      <c r="B105" s="3"/>
      <c r="C105" s="3"/>
      <c r="D105" s="3"/>
      <c r="E105" s="3"/>
      <c r="F105" s="2">
        <v>10</v>
      </c>
      <c r="G105" s="2">
        <v>15</v>
      </c>
      <c r="H105" s="2">
        <v>20</v>
      </c>
      <c r="I105" s="2">
        <v>25</v>
      </c>
      <c r="J105" s="2">
        <v>30</v>
      </c>
      <c r="K105" s="20">
        <v>40</v>
      </c>
      <c r="L105" s="9"/>
    </row>
    <row r="106" spans="1:12" ht="12.75">
      <c r="A106" s="8" t="s">
        <v>78</v>
      </c>
      <c r="B106" s="3"/>
      <c r="C106" s="3"/>
      <c r="D106" s="3"/>
      <c r="E106" s="3"/>
      <c r="F106" s="3">
        <f aca="true" t="shared" si="1" ref="F106:K106">F105*12</f>
        <v>120</v>
      </c>
      <c r="G106" s="3">
        <f t="shared" si="1"/>
        <v>180</v>
      </c>
      <c r="H106" s="3">
        <f t="shared" si="1"/>
        <v>240</v>
      </c>
      <c r="I106" s="3">
        <f t="shared" si="1"/>
        <v>300</v>
      </c>
      <c r="J106" s="3">
        <f t="shared" si="1"/>
        <v>360</v>
      </c>
      <c r="K106" s="9">
        <f t="shared" si="1"/>
        <v>480</v>
      </c>
      <c r="L106" s="9"/>
    </row>
    <row r="107" spans="1:12" ht="12.75">
      <c r="A107" s="8"/>
      <c r="B107" s="3"/>
      <c r="C107" s="3"/>
      <c r="D107" s="3"/>
      <c r="E107" s="3"/>
      <c r="F107" s="3"/>
      <c r="G107" s="3"/>
      <c r="H107" s="3"/>
      <c r="I107" s="3"/>
      <c r="J107" s="3"/>
      <c r="K107" s="9"/>
      <c r="L107" s="9"/>
    </row>
    <row r="108" spans="1:12" ht="12.75">
      <c r="A108" s="8" t="s">
        <v>91</v>
      </c>
      <c r="B108" s="3"/>
      <c r="C108" s="3"/>
      <c r="D108" s="3"/>
      <c r="E108" s="3"/>
      <c r="F108" s="12">
        <f aca="true" t="shared" si="2" ref="F108:K108">$H$53+$F$101/F106</f>
        <v>-333.37164396490584</v>
      </c>
      <c r="G108" s="12">
        <f t="shared" si="2"/>
        <v>-205.39776264327054</v>
      </c>
      <c r="H108" s="12">
        <f t="shared" si="2"/>
        <v>-141.41082198245294</v>
      </c>
      <c r="I108" s="12">
        <f t="shared" si="2"/>
        <v>-103.01865758596234</v>
      </c>
      <c r="J108" s="12">
        <f t="shared" si="2"/>
        <v>-77.42388132163528</v>
      </c>
      <c r="K108" s="21">
        <f t="shared" si="2"/>
        <v>-45.430410991226466</v>
      </c>
      <c r="L108" s="9"/>
    </row>
    <row r="109" spans="1:12" ht="13.5" thickBot="1">
      <c r="A109" s="15" t="s">
        <v>81</v>
      </c>
      <c r="B109" s="16"/>
      <c r="C109" s="16"/>
      <c r="D109" s="16"/>
      <c r="E109" s="16"/>
      <c r="F109" s="22">
        <f aca="true" t="shared" si="3" ref="F109:K109">($H$53+$H$60+$H$61)+($F$101+$G$74)/F106</f>
        <v>-311.2883106315725</v>
      </c>
      <c r="G109" s="22">
        <f t="shared" si="3"/>
        <v>-186.092207087715</v>
      </c>
      <c r="H109" s="22">
        <f t="shared" si="3"/>
        <v>-123.49415531578624</v>
      </c>
      <c r="I109" s="22">
        <f t="shared" si="3"/>
        <v>-85.935324252629</v>
      </c>
      <c r="J109" s="22">
        <f t="shared" si="3"/>
        <v>-60.89610354385751</v>
      </c>
      <c r="K109" s="23">
        <f t="shared" si="3"/>
        <v>-29.597077657893124</v>
      </c>
      <c r="L109" s="9"/>
    </row>
    <row r="110" spans="1:12" ht="12.75">
      <c r="A110" s="8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9"/>
    </row>
    <row r="111" spans="1:12" ht="13.5" thickBot="1">
      <c r="A111" s="8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9"/>
    </row>
    <row r="112" spans="1:12" ht="12.75">
      <c r="A112" s="18" t="s">
        <v>85</v>
      </c>
      <c r="B112" s="6"/>
      <c r="C112" s="6"/>
      <c r="D112" s="6"/>
      <c r="E112" s="6"/>
      <c r="F112" s="6"/>
      <c r="G112" s="6"/>
      <c r="H112" s="6"/>
      <c r="I112" s="6"/>
      <c r="J112" s="6"/>
      <c r="K112" s="7"/>
      <c r="L112" s="9"/>
    </row>
    <row r="113" spans="1:12" ht="12.75">
      <c r="A113" s="8"/>
      <c r="B113" s="3"/>
      <c r="C113" s="3"/>
      <c r="D113" s="3"/>
      <c r="E113" s="3"/>
      <c r="F113" s="3"/>
      <c r="G113" s="3"/>
      <c r="H113" s="3"/>
      <c r="I113" s="3"/>
      <c r="J113" s="3"/>
      <c r="K113" s="9"/>
      <c r="L113" s="9"/>
    </row>
    <row r="114" spans="1:12" ht="12.75">
      <c r="A114" s="10" t="s">
        <v>82</v>
      </c>
      <c r="B114" s="3"/>
      <c r="C114" s="3"/>
      <c r="D114" s="3"/>
      <c r="E114" s="3"/>
      <c r="F114" s="19">
        <f>-$G$44+$G$68-$F$94-I69/2</f>
        <v>15368.902724211295</v>
      </c>
      <c r="G114" s="3" t="s">
        <v>73</v>
      </c>
      <c r="H114" s="3"/>
      <c r="I114" s="3"/>
      <c r="J114" s="3"/>
      <c r="K114" s="9"/>
      <c r="L114" s="9"/>
    </row>
    <row r="115" spans="1:12" ht="12.75">
      <c r="A115" s="10" t="s">
        <v>83</v>
      </c>
      <c r="B115" s="3"/>
      <c r="C115" s="3"/>
      <c r="D115" s="3"/>
      <c r="E115" s="3"/>
      <c r="F115" s="19">
        <f>IF(H102&gt;1,F33/H115,0)+F114</f>
        <v>15368.902724211295</v>
      </c>
      <c r="G115" s="3" t="s">
        <v>84</v>
      </c>
      <c r="H115" s="3">
        <f>H102</f>
        <v>1</v>
      </c>
      <c r="I115" s="3" t="s">
        <v>27</v>
      </c>
      <c r="J115" s="3"/>
      <c r="K115" s="9"/>
      <c r="L115" s="9"/>
    </row>
    <row r="116" spans="1:12" ht="12.75">
      <c r="A116" s="8"/>
      <c r="B116" s="3"/>
      <c r="C116" s="3"/>
      <c r="D116" s="3"/>
      <c r="E116" s="3"/>
      <c r="F116" s="3"/>
      <c r="G116" s="3"/>
      <c r="H116" s="3"/>
      <c r="I116" s="3"/>
      <c r="J116" s="3"/>
      <c r="K116" s="9"/>
      <c r="L116" s="9"/>
    </row>
    <row r="117" spans="1:12" ht="12.75">
      <c r="A117" s="10" t="s">
        <v>76</v>
      </c>
      <c r="B117" s="3"/>
      <c r="C117" s="3"/>
      <c r="D117" s="3"/>
      <c r="E117" s="3"/>
      <c r="F117" s="3"/>
      <c r="G117" s="3"/>
      <c r="H117" s="3"/>
      <c r="I117" s="3"/>
      <c r="J117" s="3"/>
      <c r="K117" s="9"/>
      <c r="L117" s="9"/>
    </row>
    <row r="118" spans="1:12" ht="12.75">
      <c r="A118" s="8" t="s">
        <v>77</v>
      </c>
      <c r="B118" s="3"/>
      <c r="C118" s="3"/>
      <c r="D118" s="3"/>
      <c r="E118" s="3"/>
      <c r="F118" s="2">
        <v>10</v>
      </c>
      <c r="G118" s="2">
        <v>15</v>
      </c>
      <c r="H118" s="2">
        <v>20</v>
      </c>
      <c r="I118" s="2">
        <v>25</v>
      </c>
      <c r="J118" s="2">
        <v>30</v>
      </c>
      <c r="K118" s="20">
        <v>40</v>
      </c>
      <c r="L118" s="9"/>
    </row>
    <row r="119" spans="1:12" ht="12.75">
      <c r="A119" s="8" t="s">
        <v>78</v>
      </c>
      <c r="B119" s="3"/>
      <c r="C119" s="3"/>
      <c r="D119" s="3"/>
      <c r="E119" s="3"/>
      <c r="F119" s="3">
        <f aca="true" t="shared" si="4" ref="F119:K119">F118*12</f>
        <v>120</v>
      </c>
      <c r="G119" s="3">
        <f t="shared" si="4"/>
        <v>180</v>
      </c>
      <c r="H119" s="3">
        <f t="shared" si="4"/>
        <v>240</v>
      </c>
      <c r="I119" s="3">
        <f t="shared" si="4"/>
        <v>300</v>
      </c>
      <c r="J119" s="3">
        <f t="shared" si="4"/>
        <v>360</v>
      </c>
      <c r="K119" s="9">
        <f t="shared" si="4"/>
        <v>480</v>
      </c>
      <c r="L119" s="9"/>
    </row>
    <row r="120" spans="1:12" ht="12.75">
      <c r="A120" s="8"/>
      <c r="B120" s="3"/>
      <c r="C120" s="3"/>
      <c r="D120" s="3"/>
      <c r="E120" s="3"/>
      <c r="F120" s="3"/>
      <c r="G120" s="3"/>
      <c r="H120" s="3"/>
      <c r="I120" s="3"/>
      <c r="J120" s="3"/>
      <c r="K120" s="9"/>
      <c r="L120" s="9"/>
    </row>
    <row r="121" spans="1:12" ht="12.75">
      <c r="A121" s="8" t="s">
        <v>91</v>
      </c>
      <c r="B121" s="3"/>
      <c r="C121" s="3"/>
      <c r="D121" s="3"/>
      <c r="E121" s="3"/>
      <c r="F121" s="12">
        <f aca="true" t="shared" si="5" ref="F121:K121">$H$53+$F$114/F119</f>
        <v>178.62418936842744</v>
      </c>
      <c r="G121" s="12">
        <f t="shared" si="5"/>
        <v>135.93279291228498</v>
      </c>
      <c r="H121" s="12">
        <f t="shared" si="5"/>
        <v>114.58709468421372</v>
      </c>
      <c r="I121" s="12">
        <f t="shared" si="5"/>
        <v>101.77967574737099</v>
      </c>
      <c r="J121" s="12">
        <f t="shared" si="5"/>
        <v>93.24139645614248</v>
      </c>
      <c r="K121" s="21">
        <f t="shared" si="5"/>
        <v>82.56854734210685</v>
      </c>
      <c r="L121" s="9"/>
    </row>
    <row r="122" spans="1:12" ht="13.5" thickBot="1">
      <c r="A122" s="15" t="s">
        <v>81</v>
      </c>
      <c r="B122" s="16"/>
      <c r="C122" s="16"/>
      <c r="D122" s="16"/>
      <c r="E122" s="16"/>
      <c r="F122" s="22">
        <f aca="true" t="shared" si="6" ref="F122:K122">($H$53+$H$60+$H$61)+($F$114+$G$74)/F119</f>
        <v>200.7075227017608</v>
      </c>
      <c r="G122" s="22">
        <f t="shared" si="6"/>
        <v>155.23834846784052</v>
      </c>
      <c r="H122" s="22">
        <f t="shared" si="6"/>
        <v>132.50376135088038</v>
      </c>
      <c r="I122" s="22">
        <f t="shared" si="6"/>
        <v>118.86300908070432</v>
      </c>
      <c r="J122" s="22">
        <f t="shared" si="6"/>
        <v>109.76917423392027</v>
      </c>
      <c r="K122" s="23">
        <f t="shared" si="6"/>
        <v>98.4018806754402</v>
      </c>
      <c r="L122" s="9"/>
    </row>
    <row r="123" spans="1:12" ht="12.75">
      <c r="A123" s="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9"/>
    </row>
    <row r="124" spans="1:12" ht="13.5" thickBot="1">
      <c r="A124" s="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9"/>
    </row>
    <row r="125" spans="1:12" ht="12.75">
      <c r="A125" s="18" t="s">
        <v>102</v>
      </c>
      <c r="B125" s="6"/>
      <c r="C125" s="6"/>
      <c r="D125" s="6"/>
      <c r="E125" s="6"/>
      <c r="F125" s="6"/>
      <c r="G125" s="6"/>
      <c r="H125" s="6"/>
      <c r="I125" s="6"/>
      <c r="J125" s="6"/>
      <c r="K125" s="7"/>
      <c r="L125" s="9"/>
    </row>
    <row r="126" spans="1:12" ht="12.75">
      <c r="A126" s="8"/>
      <c r="B126" s="3"/>
      <c r="C126" s="3"/>
      <c r="D126" s="3"/>
      <c r="E126" s="3"/>
      <c r="F126" s="3"/>
      <c r="G126" s="3"/>
      <c r="H126" s="3"/>
      <c r="I126" s="3"/>
      <c r="J126" s="3"/>
      <c r="K126" s="9"/>
      <c r="L126" s="9"/>
    </row>
    <row r="127" spans="1:12" ht="12.75">
      <c r="A127" s="10" t="s">
        <v>82</v>
      </c>
      <c r="B127" s="3"/>
      <c r="C127" s="3"/>
      <c r="D127" s="3"/>
      <c r="E127" s="3"/>
      <c r="F127" s="19">
        <f>-$G$45+$G$68-$F$94-I69</f>
        <v>19115.37414391662</v>
      </c>
      <c r="G127" s="3" t="s">
        <v>73</v>
      </c>
      <c r="H127" s="3"/>
      <c r="I127" s="3"/>
      <c r="J127" s="3"/>
      <c r="K127" s="9"/>
      <c r="L127" s="9"/>
    </row>
    <row r="128" spans="1:12" ht="12.75">
      <c r="A128" s="10" t="s">
        <v>83</v>
      </c>
      <c r="B128" s="3"/>
      <c r="C128" s="3"/>
      <c r="D128" s="3"/>
      <c r="E128" s="3"/>
      <c r="F128" s="19">
        <f>IF(H115&gt;1,F46/H128,0)+F127</f>
        <v>19115.37414391662</v>
      </c>
      <c r="G128" s="3" t="s">
        <v>84</v>
      </c>
      <c r="H128" s="3">
        <f>H115</f>
        <v>1</v>
      </c>
      <c r="I128" s="3" t="s">
        <v>27</v>
      </c>
      <c r="J128" s="3"/>
      <c r="K128" s="9"/>
      <c r="L128" s="9"/>
    </row>
    <row r="129" spans="1:12" ht="12.75">
      <c r="A129" s="8"/>
      <c r="B129" s="3"/>
      <c r="C129" s="3"/>
      <c r="D129" s="3"/>
      <c r="E129" s="3"/>
      <c r="F129" s="3"/>
      <c r="G129" s="3"/>
      <c r="H129" s="3"/>
      <c r="I129" s="3"/>
      <c r="J129" s="3"/>
      <c r="K129" s="9"/>
      <c r="L129" s="9"/>
    </row>
    <row r="130" spans="1:12" ht="12.75">
      <c r="A130" s="10" t="s">
        <v>76</v>
      </c>
      <c r="B130" s="3"/>
      <c r="C130" s="3"/>
      <c r="D130" s="3"/>
      <c r="E130" s="3"/>
      <c r="F130" s="3"/>
      <c r="G130" s="3"/>
      <c r="H130" s="3"/>
      <c r="I130" s="3"/>
      <c r="J130" s="3"/>
      <c r="K130" s="9"/>
      <c r="L130" s="9"/>
    </row>
    <row r="131" spans="1:12" ht="12.75">
      <c r="A131" s="8" t="s">
        <v>77</v>
      </c>
      <c r="B131" s="3"/>
      <c r="C131" s="3"/>
      <c r="D131" s="3"/>
      <c r="E131" s="3"/>
      <c r="F131" s="2">
        <v>10</v>
      </c>
      <c r="G131" s="2">
        <v>15</v>
      </c>
      <c r="H131" s="2">
        <v>20</v>
      </c>
      <c r="I131" s="2">
        <v>25</v>
      </c>
      <c r="J131" s="2">
        <v>30</v>
      </c>
      <c r="K131" s="20">
        <v>40</v>
      </c>
      <c r="L131" s="9"/>
    </row>
    <row r="132" spans="1:12" ht="12.75">
      <c r="A132" s="8" t="s">
        <v>78</v>
      </c>
      <c r="B132" s="3"/>
      <c r="C132" s="3"/>
      <c r="D132" s="3"/>
      <c r="E132" s="3"/>
      <c r="F132" s="3">
        <f aca="true" t="shared" si="7" ref="F132:K132">F131*12</f>
        <v>120</v>
      </c>
      <c r="G132" s="3">
        <f t="shared" si="7"/>
        <v>180</v>
      </c>
      <c r="H132" s="3">
        <f t="shared" si="7"/>
        <v>240</v>
      </c>
      <c r="I132" s="3">
        <f t="shared" si="7"/>
        <v>300</v>
      </c>
      <c r="J132" s="3">
        <f t="shared" si="7"/>
        <v>360</v>
      </c>
      <c r="K132" s="9">
        <f t="shared" si="7"/>
        <v>480</v>
      </c>
      <c r="L132" s="9"/>
    </row>
    <row r="133" spans="1:12" ht="12.75">
      <c r="A133" s="8"/>
      <c r="B133" s="3"/>
      <c r="C133" s="3"/>
      <c r="D133" s="3"/>
      <c r="E133" s="3"/>
      <c r="F133" s="3"/>
      <c r="G133" s="3"/>
      <c r="H133" s="3"/>
      <c r="I133" s="3"/>
      <c r="J133" s="3"/>
      <c r="K133" s="9"/>
      <c r="L133" s="9"/>
    </row>
    <row r="134" spans="1:12" ht="12.75">
      <c r="A134" s="8" t="s">
        <v>91</v>
      </c>
      <c r="B134" s="3"/>
      <c r="C134" s="3"/>
      <c r="D134" s="3"/>
      <c r="E134" s="3"/>
      <c r="F134" s="12">
        <f aca="true" t="shared" si="8" ref="F134:K134">$I$53+$F$127/F132</f>
        <v>213.84478453263847</v>
      </c>
      <c r="G134" s="12">
        <f t="shared" si="8"/>
        <v>160.746523021759</v>
      </c>
      <c r="H134" s="12">
        <f t="shared" si="8"/>
        <v>134.19739226631924</v>
      </c>
      <c r="I134" s="12">
        <f t="shared" si="8"/>
        <v>118.2679138130554</v>
      </c>
      <c r="J134" s="12">
        <f t="shared" si="8"/>
        <v>107.6482615108795</v>
      </c>
      <c r="K134" s="21">
        <f t="shared" si="8"/>
        <v>94.37369613315963</v>
      </c>
      <c r="L134" s="9"/>
    </row>
    <row r="135" spans="1:12" ht="13.5" thickBot="1">
      <c r="A135" s="15" t="s">
        <v>81</v>
      </c>
      <c r="B135" s="16"/>
      <c r="C135" s="16"/>
      <c r="D135" s="16"/>
      <c r="E135" s="16"/>
      <c r="F135" s="22">
        <f aca="true" t="shared" si="9" ref="F135:K135">($I$53+$H$60+$H$61)+($F$127+$G$74)/F132</f>
        <v>235.92811786597184</v>
      </c>
      <c r="G135" s="22">
        <f t="shared" si="9"/>
        <v>180.05207857731455</v>
      </c>
      <c r="H135" s="22">
        <f t="shared" si="9"/>
        <v>152.11405893298593</v>
      </c>
      <c r="I135" s="22">
        <f t="shared" si="9"/>
        <v>135.35124714638874</v>
      </c>
      <c r="J135" s="22">
        <f t="shared" si="9"/>
        <v>124.17603928865728</v>
      </c>
      <c r="K135" s="23">
        <f t="shared" si="9"/>
        <v>110.20702946649295</v>
      </c>
      <c r="L135" s="9"/>
    </row>
    <row r="136" spans="1:12" ht="13.5" thickBot="1">
      <c r="A136" s="15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7"/>
    </row>
  </sheetData>
  <sheetProtection sheet="1" objects="1" scenarios="1"/>
  <printOptions/>
  <pageMargins left="0.5" right="0.5" top="0.37" bottom="0.18" header="0.25" footer="0.25"/>
  <pageSetup fitToHeight="0" fitToWidth="1" orientation="portrait" scale="78" r:id="rId1"/>
  <rowBreaks count="1" manualBreakCount="1">
    <brk id="7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Cirrus Design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Cirrus Design</dc:creator>
  <cp:keywords/>
  <dc:description/>
  <cp:lastModifiedBy>Laurence I. Balter</cp:lastModifiedBy>
  <cp:lastPrinted>2003-11-11T03:18:13Z</cp:lastPrinted>
  <dcterms:created xsi:type="dcterms:W3CDTF">2003-10-23T16:52:03Z</dcterms:created>
  <dcterms:modified xsi:type="dcterms:W3CDTF">2004-10-09T20:52:52Z</dcterms:modified>
  <cp:category/>
  <cp:version/>
  <cp:contentType/>
  <cp:contentStatus/>
</cp:coreProperties>
</file>